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 activeTab="1"/>
  </bookViews>
  <sheets>
    <sheet name="Приложение 1 " sheetId="3" r:id="rId1"/>
    <sheet name="Приложение 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3" l="1"/>
  <c r="E123" i="3" l="1"/>
  <c r="G219" i="3" l="1"/>
  <c r="G104" i="3" l="1"/>
  <c r="G89" i="3"/>
  <c r="G91" i="3"/>
  <c r="E197" i="3" l="1"/>
  <c r="G213" i="3"/>
  <c r="G105" i="3" l="1"/>
  <c r="E87" i="3" l="1"/>
  <c r="G100" i="3" l="1"/>
  <c r="E96" i="3"/>
  <c r="G67" i="3"/>
  <c r="E58" i="3"/>
  <c r="E51" i="3"/>
  <c r="E23" i="3"/>
  <c r="G240" i="3" l="1"/>
  <c r="E221" i="3"/>
  <c r="E223" i="3"/>
  <c r="E224" i="3"/>
  <c r="E225" i="3"/>
  <c r="E226" i="3"/>
  <c r="E227" i="3"/>
  <c r="E228" i="3"/>
  <c r="E108" i="3"/>
  <c r="E109" i="3"/>
  <c r="E110" i="3"/>
  <c r="E114" i="3"/>
  <c r="E116" i="3"/>
  <c r="E118" i="3"/>
  <c r="E119" i="3"/>
  <c r="E120" i="3"/>
  <c r="E124" i="3"/>
  <c r="E128" i="3"/>
  <c r="E129" i="3"/>
  <c r="E130" i="3"/>
  <c r="E131" i="3"/>
  <c r="E132" i="3"/>
  <c r="E133" i="3"/>
  <c r="E135" i="3"/>
  <c r="E136" i="3"/>
  <c r="E138" i="3"/>
  <c r="E139" i="3"/>
  <c r="E141" i="3"/>
  <c r="E142" i="3"/>
  <c r="E146" i="3"/>
  <c r="E147" i="3"/>
  <c r="E149" i="3"/>
  <c r="E153" i="3"/>
  <c r="E155" i="3"/>
  <c r="E158" i="3"/>
  <c r="E159" i="3"/>
  <c r="E160" i="3"/>
  <c r="E164" i="3"/>
  <c r="E165" i="3"/>
  <c r="E166" i="3"/>
  <c r="E167" i="3"/>
  <c r="E168" i="3"/>
  <c r="E169" i="3"/>
  <c r="E170" i="3"/>
  <c r="E172" i="3"/>
  <c r="E173" i="3"/>
  <c r="E175" i="3"/>
  <c r="E176" i="3"/>
  <c r="E177" i="3"/>
  <c r="E178" i="3"/>
  <c r="E179" i="3"/>
  <c r="E182" i="3"/>
  <c r="E183" i="3"/>
  <c r="E184" i="3"/>
  <c r="E185" i="3"/>
  <c r="E186" i="3"/>
  <c r="E187" i="3"/>
  <c r="E188" i="3"/>
  <c r="E196" i="3"/>
  <c r="E198" i="3"/>
  <c r="E200" i="3"/>
  <c r="E201" i="3"/>
  <c r="E202" i="3"/>
  <c r="E204" i="3"/>
  <c r="E206" i="3"/>
  <c r="E207" i="3"/>
  <c r="E209" i="3"/>
  <c r="E210" i="3"/>
  <c r="E211" i="3"/>
  <c r="E213" i="3"/>
  <c r="E214" i="3"/>
  <c r="E215" i="3"/>
  <c r="E216" i="3"/>
  <c r="E217" i="3"/>
  <c r="E106" i="3"/>
  <c r="F104" i="3"/>
  <c r="E14" i="3"/>
  <c r="E15" i="3"/>
  <c r="E16" i="3"/>
  <c r="E17" i="3"/>
  <c r="E18" i="3"/>
  <c r="E19" i="3"/>
  <c r="E20" i="3"/>
  <c r="E21" i="3"/>
  <c r="E24" i="3"/>
  <c r="E27" i="3"/>
  <c r="E28" i="3"/>
  <c r="E29" i="3"/>
  <c r="E30" i="3"/>
  <c r="E31" i="3"/>
  <c r="E32" i="3"/>
  <c r="E33" i="3"/>
  <c r="E35" i="3"/>
  <c r="E36" i="3"/>
  <c r="E37" i="3"/>
  <c r="E38" i="3"/>
  <c r="E39" i="3"/>
  <c r="E40" i="3"/>
  <c r="E41" i="3"/>
  <c r="E42" i="3"/>
  <c r="E43" i="3"/>
  <c r="E44" i="3"/>
  <c r="E46" i="3"/>
  <c r="E47" i="3"/>
  <c r="E48" i="3"/>
  <c r="E49" i="3"/>
  <c r="E54" i="3"/>
  <c r="E55" i="3"/>
  <c r="E56" i="3"/>
  <c r="E57" i="3"/>
  <c r="E59" i="3"/>
  <c r="E61" i="3"/>
  <c r="E62" i="3"/>
  <c r="E63" i="3"/>
  <c r="E66" i="3"/>
  <c r="E67" i="3"/>
  <c r="E68" i="3"/>
  <c r="E71" i="3"/>
  <c r="E73" i="3"/>
  <c r="E74" i="3"/>
  <c r="E75" i="3"/>
  <c r="E76" i="3"/>
  <c r="E79" i="3"/>
  <c r="E80" i="3"/>
  <c r="E81" i="3"/>
  <c r="E82" i="3"/>
  <c r="E83" i="3"/>
  <c r="E84" i="3"/>
  <c r="E85" i="3"/>
  <c r="E88" i="3"/>
  <c r="E90" i="3"/>
  <c r="E91" i="3"/>
  <c r="E92" i="3"/>
  <c r="E93" i="3"/>
  <c r="E95" i="3"/>
  <c r="E97" i="3"/>
  <c r="E98" i="3"/>
  <c r="E100" i="3"/>
  <c r="E101" i="3"/>
  <c r="E102" i="3"/>
  <c r="E103" i="3"/>
  <c r="E13" i="3"/>
  <c r="F234" i="3"/>
  <c r="G235" i="3"/>
  <c r="G232" i="3"/>
  <c r="G234" i="3" s="1"/>
  <c r="E122" i="3"/>
  <c r="G143" i="3"/>
  <c r="E143" i="3" s="1"/>
  <c r="G41" i="2"/>
  <c r="E41" i="2" s="1"/>
  <c r="E61" i="2"/>
  <c r="G65" i="2"/>
  <c r="E64" i="2"/>
  <c r="G56" i="2"/>
  <c r="G40" i="2"/>
  <c r="E37" i="2"/>
  <c r="G27" i="2"/>
  <c r="G23" i="2"/>
  <c r="G14" i="2"/>
  <c r="F240" i="3"/>
  <c r="F218" i="3"/>
  <c r="G205" i="3"/>
  <c r="E205" i="3" s="1"/>
  <c r="G185" i="3"/>
  <c r="G152" i="3"/>
  <c r="E152" i="3" s="1"/>
  <c r="G137" i="3"/>
  <c r="E137" i="3" s="1"/>
  <c r="G134" i="3"/>
  <c r="E134" i="3" s="1"/>
  <c r="E89" i="3"/>
  <c r="G75" i="3"/>
  <c r="G52" i="3"/>
  <c r="E52" i="3" s="1"/>
  <c r="G69" i="3"/>
  <c r="E69" i="3" s="1"/>
  <c r="G70" i="3"/>
  <c r="E70" i="3" s="1"/>
  <c r="G63" i="3"/>
  <c r="G30" i="3"/>
  <c r="E240" i="3" l="1"/>
  <c r="G144" i="3"/>
  <c r="E144" i="3" s="1"/>
  <c r="G52" i="2" l="1"/>
  <c r="E14" i="2" l="1"/>
  <c r="E72" i="2" l="1"/>
  <c r="G72" i="2"/>
  <c r="F72" i="2"/>
  <c r="F73" i="2" s="1"/>
  <c r="G71" i="2"/>
  <c r="G69" i="2"/>
  <c r="G73" i="2" s="1"/>
  <c r="G70" i="2"/>
  <c r="E21" i="2"/>
  <c r="F66" i="2" l="1"/>
  <c r="E57" i="2"/>
  <c r="E56" i="2"/>
  <c r="E65" i="2"/>
  <c r="E60" i="2"/>
  <c r="E55" i="2"/>
  <c r="E52" i="2"/>
  <c r="E50" i="2"/>
  <c r="E47" i="2"/>
  <c r="E45" i="2"/>
  <c r="E43" i="2"/>
  <c r="E40" i="2"/>
  <c r="E35" i="2"/>
  <c r="E33" i="2"/>
  <c r="E31" i="2"/>
  <c r="E29" i="2"/>
  <c r="E28" i="2"/>
  <c r="G26" i="2"/>
  <c r="G113" i="3"/>
  <c r="E113" i="3" s="1"/>
  <c r="E239" i="3"/>
  <c r="E238" i="3"/>
  <c r="E237" i="3"/>
  <c r="E236" i="3"/>
  <c r="F235" i="3"/>
  <c r="E235" i="3" s="1"/>
  <c r="E233" i="3"/>
  <c r="E231" i="3"/>
  <c r="G230" i="3"/>
  <c r="F229" i="3"/>
  <c r="G222" i="3"/>
  <c r="E222" i="3" s="1"/>
  <c r="G220" i="3"/>
  <c r="G212" i="3"/>
  <c r="E212" i="3" s="1"/>
  <c r="G208" i="3"/>
  <c r="E208" i="3" s="1"/>
  <c r="G203" i="3"/>
  <c r="G199" i="3"/>
  <c r="E199" i="3" s="1"/>
  <c r="G195" i="3"/>
  <c r="E195" i="3" s="1"/>
  <c r="G194" i="3"/>
  <c r="E194" i="3" s="1"/>
  <c r="G193" i="3"/>
  <c r="E193" i="3" s="1"/>
  <c r="G192" i="3"/>
  <c r="E192" i="3" s="1"/>
  <c r="G191" i="3"/>
  <c r="E191" i="3" s="1"/>
  <c r="G190" i="3"/>
  <c r="E190" i="3" s="1"/>
  <c r="G189" i="3"/>
  <c r="E189" i="3" s="1"/>
  <c r="G181" i="3"/>
  <c r="E181" i="3" s="1"/>
  <c r="G180" i="3"/>
  <c r="E180" i="3" s="1"/>
  <c r="G174" i="3"/>
  <c r="E174" i="3" s="1"/>
  <c r="G171" i="3"/>
  <c r="E171" i="3" s="1"/>
  <c r="G163" i="3"/>
  <c r="E163" i="3" s="1"/>
  <c r="G162" i="3"/>
  <c r="E162" i="3" s="1"/>
  <c r="G161" i="3"/>
  <c r="E161" i="3" s="1"/>
  <c r="G157" i="3"/>
  <c r="E157" i="3" s="1"/>
  <c r="G156" i="3"/>
  <c r="E156" i="3" s="1"/>
  <c r="G154" i="3"/>
  <c r="E154" i="3" s="1"/>
  <c r="G151" i="3"/>
  <c r="E151" i="3" s="1"/>
  <c r="G150" i="3"/>
  <c r="E150" i="3" s="1"/>
  <c r="G148" i="3"/>
  <c r="E148" i="3" s="1"/>
  <c r="G145" i="3"/>
  <c r="E145" i="3" s="1"/>
  <c r="G140" i="3"/>
  <c r="E140" i="3" s="1"/>
  <c r="G127" i="3"/>
  <c r="E127" i="3" s="1"/>
  <c r="G126" i="3"/>
  <c r="E126" i="3" s="1"/>
  <c r="G125" i="3"/>
  <c r="E125" i="3" s="1"/>
  <c r="G121" i="3"/>
  <c r="E121" i="3" s="1"/>
  <c r="G117" i="3"/>
  <c r="E117" i="3" s="1"/>
  <c r="G115" i="3"/>
  <c r="E115" i="3" s="1"/>
  <c r="G112" i="3"/>
  <c r="E112" i="3" s="1"/>
  <c r="G111" i="3"/>
  <c r="E111" i="3" s="1"/>
  <c r="G107" i="3"/>
  <c r="E107" i="3" s="1"/>
  <c r="E105" i="3"/>
  <c r="G99" i="3"/>
  <c r="E99" i="3" s="1"/>
  <c r="G94" i="3"/>
  <c r="E94" i="3" s="1"/>
  <c r="G86" i="3"/>
  <c r="E86" i="3" s="1"/>
  <c r="G78" i="3"/>
  <c r="E78" i="3" s="1"/>
  <c r="G77" i="3"/>
  <c r="E77" i="3" s="1"/>
  <c r="G72" i="3"/>
  <c r="E72" i="3" s="1"/>
  <c r="G65" i="3"/>
  <c r="E65" i="3" s="1"/>
  <c r="G64" i="3"/>
  <c r="E64" i="3" s="1"/>
  <c r="G60" i="3"/>
  <c r="E60" i="3" s="1"/>
  <c r="G53" i="3"/>
  <c r="E53" i="3" s="1"/>
  <c r="G50" i="3"/>
  <c r="E50" i="3" s="1"/>
  <c r="G45" i="3"/>
  <c r="E45" i="3" s="1"/>
  <c r="G34" i="3"/>
  <c r="E34" i="3" s="1"/>
  <c r="G26" i="3"/>
  <c r="E26" i="3" s="1"/>
  <c r="G25" i="3"/>
  <c r="E25" i="3" s="1"/>
  <c r="G22" i="3"/>
  <c r="G229" i="3" l="1"/>
  <c r="E220" i="3"/>
  <c r="E229" i="3" s="1"/>
  <c r="E230" i="3"/>
  <c r="E22" i="3"/>
  <c r="E104" i="3" s="1"/>
  <c r="G243" i="3"/>
  <c r="E203" i="3"/>
  <c r="E218" i="3" s="1"/>
  <c r="G218" i="3"/>
  <c r="F242" i="3"/>
  <c r="E232" i="3"/>
  <c r="E234" i="3" s="1"/>
  <c r="E219" i="3"/>
  <c r="G242" i="3" l="1"/>
  <c r="E242" i="3"/>
  <c r="E243" i="3"/>
  <c r="G63" i="2" l="1"/>
  <c r="G59" i="2"/>
  <c r="G49" i="2"/>
  <c r="G38" i="2"/>
  <c r="G32" i="2"/>
  <c r="E26" i="2"/>
  <c r="E27" i="2"/>
  <c r="G25" i="2"/>
  <c r="E25" i="2" s="1"/>
  <c r="G19" i="2"/>
  <c r="G17" i="2"/>
  <c r="G18" i="2"/>
  <c r="G16" i="2"/>
  <c r="G58" i="2" l="1"/>
  <c r="G68" i="2" l="1"/>
  <c r="E49" i="2"/>
  <c r="E39" i="2"/>
  <c r="E59" i="2" l="1"/>
  <c r="G54" i="2" l="1"/>
  <c r="G51" i="2"/>
  <c r="G42" i="2"/>
  <c r="G36" i="2"/>
  <c r="G34" i="2"/>
  <c r="G30" i="2"/>
  <c r="E30" i="2" s="1"/>
  <c r="G22" i="2"/>
  <c r="E17" i="2"/>
  <c r="E18" i="2"/>
  <c r="E15" i="2"/>
  <c r="E16" i="2"/>
  <c r="G20" i="2" l="1"/>
  <c r="G66" i="2" s="1"/>
  <c r="E71" i="2" l="1"/>
  <c r="E53" i="2" l="1"/>
  <c r="E22" i="2"/>
  <c r="E54" i="2"/>
  <c r="E44" i="2"/>
  <c r="E32" i="2"/>
  <c r="E58" i="2"/>
  <c r="E42" i="2"/>
  <c r="E51" i="2"/>
  <c r="E46" i="2"/>
  <c r="E48" i="2"/>
  <c r="E63" i="2"/>
  <c r="E34" i="2"/>
  <c r="E38" i="2"/>
  <c r="E19" i="2"/>
  <c r="E24" i="2"/>
  <c r="E20" i="2"/>
  <c r="E23" i="2"/>
  <c r="E36" i="2"/>
  <c r="E12" i="2"/>
  <c r="E13" i="2"/>
  <c r="E62" i="2"/>
  <c r="E11" i="2"/>
  <c r="E66" i="2" l="1"/>
  <c r="F67" i="2"/>
  <c r="F68" i="2" s="1"/>
  <c r="E67" i="2" l="1"/>
  <c r="E68" i="2" l="1"/>
  <c r="E69" i="2" l="1"/>
  <c r="G74" i="2"/>
  <c r="E70" i="2"/>
  <c r="E73" i="2" l="1"/>
  <c r="E74" i="2"/>
  <c r="F74" i="2"/>
</calcChain>
</file>

<file path=xl/sharedStrings.xml><?xml version="1.0" encoding="utf-8"?>
<sst xmlns="http://schemas.openxmlformats.org/spreadsheetml/2006/main" count="580" uniqueCount="301">
  <si>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</si>
  <si>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Тип учреждения</t>
  </si>
  <si>
    <t>Наименование учреждения</t>
  </si>
  <si>
    <t>Наименование работ</t>
  </si>
  <si>
    <t>Стоимость работ, всего</t>
  </si>
  <si>
    <t>в том числе по источникам финансирования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</si>
  <si>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</si>
  <si>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</si>
  <si>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</si>
  <si>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</si>
  <si>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Замена оконных блоков</t>
  </si>
  <si>
    <t>МАОУ СОШ № 35</t>
  </si>
  <si>
    <t>Учреждения дополнительного образования</t>
  </si>
  <si>
    <t>МАУ ДО "ДДТ"</t>
  </si>
  <si>
    <t>Прочие учреждения</t>
  </si>
  <si>
    <t>МАУ ЦООД "Лесная сказка"</t>
  </si>
  <si>
    <t>Ремонт помещений столовой и пищеблока</t>
  </si>
  <si>
    <t>Общий итог:</t>
  </si>
  <si>
    <t>средства областного бюджета</t>
  </si>
  <si>
    <t>МАОУ СОШ №38</t>
  </si>
  <si>
    <t>МАОУ СОШ №8</t>
  </si>
  <si>
    <t>МАОУ СОШ №2</t>
  </si>
  <si>
    <t>Обеспечение физической квалифицированной охраной</t>
  </si>
  <si>
    <t>МАОУ СОШ №37</t>
  </si>
  <si>
    <t>резерв</t>
  </si>
  <si>
    <t xml:space="preserve">МАДОУ "Детский сад комбинированного вида № 2" </t>
  </si>
  <si>
    <t>МАДОУ "Детский сад комбинированного вида № 59"</t>
  </si>
  <si>
    <t>МАДОУ "Детский сад комбинированного вида № 2"</t>
  </si>
  <si>
    <t>Монтаж ограждения</t>
  </si>
  <si>
    <t>МАДОУ "Детский сад № 24"</t>
  </si>
  <si>
    <t>Установка межкомнатных дверей</t>
  </si>
  <si>
    <t>Ремонт и противопожарные мероприятия</t>
  </si>
  <si>
    <t>Ремонт кровли спортивного зала</t>
  </si>
  <si>
    <t>Субсидия на замену окон в общеобразовательных организациях</t>
  </si>
  <si>
    <t>Разработка ПСД на установку локальной вытяжной вентиляции</t>
  </si>
  <si>
    <t>Ремонт входной группы</t>
  </si>
  <si>
    <t xml:space="preserve">МАДОУ "Детский сад комбинированного вида № 4" </t>
  </si>
  <si>
    <t>Приобретение противопожарного  линолеума</t>
  </si>
  <si>
    <t>Замена радиаторов отопления</t>
  </si>
  <si>
    <t>МАДОУ "Центр развития ребенка - детский сад № 15"</t>
  </si>
  <si>
    <t>МАДОУ "Детский сад № 29"</t>
  </si>
  <si>
    <t>МАДОУ "Детский сад № 33"</t>
  </si>
  <si>
    <t>Установка вытяжной вентиляции</t>
  </si>
  <si>
    <t>МАДОУ "Детский сад № 38"</t>
  </si>
  <si>
    <t>МАДОУ "Детский сад № 47 "Улыбка"</t>
  </si>
  <si>
    <t>МАДОУ "Детский сад № 58 "Радужка"</t>
  </si>
  <si>
    <t>МАДОУ "Детский сад № 61"</t>
  </si>
  <si>
    <t>МАДОУ "Детский сад № 63"</t>
  </si>
  <si>
    <t>Замена входных дверей</t>
  </si>
  <si>
    <t>МАДОУ "Детский сад № 65"</t>
  </si>
  <si>
    <t>МАДОУ "Детский сад № 71"</t>
  </si>
  <si>
    <t>МАДОУ "Детский сад № 76"</t>
  </si>
  <si>
    <t>МАДОУ "Детский сад № 80"</t>
  </si>
  <si>
    <t>МАДОУ "Детский сад № 81"</t>
  </si>
  <si>
    <t>Монтаж вытяжной вентиляции в помещениях МАДОУ "Детский сад № 81" и МАДОУ "Детский сад № 81" СП "Детский сад № 23"</t>
  </si>
  <si>
    <t>МАДОУ "Детский сад № 84"</t>
  </si>
  <si>
    <t>МАДОУ "Детский сад № 87"</t>
  </si>
  <si>
    <t>МАДОУ "Детский сад № 90"</t>
  </si>
  <si>
    <t>МАДОУ "Детский сад № 91"</t>
  </si>
  <si>
    <t>МАДОУ "Детский сад № 95"</t>
  </si>
  <si>
    <t>Ремонт крыльца бетонного</t>
  </si>
  <si>
    <t>Установка вытяжной вентиляции на пищеблоке МАДОУ "Детский сад № 38" СП "Детский сад № 6"</t>
  </si>
  <si>
    <t xml:space="preserve">МАОУ СОШ № 1 </t>
  </si>
  <si>
    <t>Ремонт мужского туалета</t>
  </si>
  <si>
    <t>Замена дверных блоков</t>
  </si>
  <si>
    <t>МАОУ СОШ № 3</t>
  </si>
  <si>
    <t>Приобретение строительных материалов</t>
  </si>
  <si>
    <t>МАОУ СОШ № 4</t>
  </si>
  <si>
    <t>Установка вытяжного шкафа и восстановление перил лестничных маршей</t>
  </si>
  <si>
    <t>Монтаж металлической двери</t>
  </si>
  <si>
    <t>МАОУ СОШ № 13</t>
  </si>
  <si>
    <t>Монтаж противопожарной двери</t>
  </si>
  <si>
    <t>МАОУ СОШ № 18</t>
  </si>
  <si>
    <t>Замена оконных блоков в здании МАОУ СОШ № 18 СП ООШ № 19</t>
  </si>
  <si>
    <t>МАОУ СОШ № 34</t>
  </si>
  <si>
    <t>МАОУ СОШ № 37</t>
  </si>
  <si>
    <t>МАОУ СОШ № 38</t>
  </si>
  <si>
    <t>МАОУ СОШ № 90</t>
  </si>
  <si>
    <t>Замена оконных блоков в здании МАОУ СОШ № 90 СП - О ООШ № 41</t>
  </si>
  <si>
    <t>Ремонт АПС и СОУЭ в помещении МАОУ СОШ № 90</t>
  </si>
  <si>
    <t xml:space="preserve">Замена оконных блоков в здании МАОУ СОШ № 90  </t>
  </si>
  <si>
    <t>Ремонт медицинского кабинета в МАОУ СОШ № 90 СП-О ООШ № 17</t>
  </si>
  <si>
    <t>Ремонт ограждения кровли в здании МАОУ СОШ № 18 СП ООШ № 19</t>
  </si>
  <si>
    <t>Ремонт ограждения кровли в здании МАОУ СОШ № 18 СП ООШ № 12</t>
  </si>
  <si>
    <t>Установка узла учета тепла</t>
  </si>
  <si>
    <t>МАОУ СОШ № 45</t>
  </si>
  <si>
    <t>МАОУ ШИ № 31</t>
  </si>
  <si>
    <t xml:space="preserve">Ремонт полов </t>
  </si>
  <si>
    <t>Аварийные работы по замене верхнего розлива отопления</t>
  </si>
  <si>
    <t>Проведение инженерно-геологических изысканий на земельном участке учреждения</t>
  </si>
  <si>
    <t>Проведение косметических ремонтов кабинетов ОГЭ</t>
  </si>
  <si>
    <t>МАОУ СОШ № 2</t>
  </si>
  <si>
    <t>Проведение косметических ремонтов кабинетов ЕГЭ</t>
  </si>
  <si>
    <t>МАОУ СОШ № 10</t>
  </si>
  <si>
    <t>МАОУ СОШ № 25</t>
  </si>
  <si>
    <t>МАОУ СОШ № 36</t>
  </si>
  <si>
    <t>МАУ ДО "ЦЭВД"</t>
  </si>
  <si>
    <t>Монтаж принудительной вентиляции</t>
  </si>
  <si>
    <t>Наименование субсидии</t>
  </si>
  <si>
    <t>МАДОУ "Детский сад комбинированного вида № 36"</t>
  </si>
  <si>
    <t xml:space="preserve">МАОУ СОШ № 90 </t>
  </si>
  <si>
    <t>Установка СКУД</t>
  </si>
  <si>
    <t>Монтаж тревожной сигнализации</t>
  </si>
  <si>
    <t>Обеспечение физической охранной</t>
  </si>
  <si>
    <t xml:space="preserve">Установка системы оповещения </t>
  </si>
  <si>
    <t>МАОУ СОШ № 21</t>
  </si>
  <si>
    <t>Установка системы оповещения в 4 (четырех) объектах</t>
  </si>
  <si>
    <t>Установка системы оповещения в МАОУ СОШ № 90 СП О-ООШ № 77</t>
  </si>
  <si>
    <t>МАОУ СОШ № 8</t>
  </si>
  <si>
    <t>Установка системы оповещения в МАОУ СОШ № 38 СП О-ООШ № 23</t>
  </si>
  <si>
    <t>Учреждения образования</t>
  </si>
  <si>
    <t>Монтаж системы контроля доступа</t>
  </si>
  <si>
    <t>Установка станции ПАК "Стрелец-Мониторинг"</t>
  </si>
  <si>
    <t>Приобретение светильников</t>
  </si>
  <si>
    <t>МАДОУ "Детский сад № 209"</t>
  </si>
  <si>
    <t>Восстановление потолочного покрытия 4-го этажа в здании МАОУ СОШ № 21</t>
  </si>
  <si>
    <t>Монтаж охранной сигнализации на 3 (трех) объектах</t>
  </si>
  <si>
    <t>Восстановление аварийного потолочного покрытия в здании МАОУ СОШ № 21</t>
  </si>
  <si>
    <t>Реализация мероприятий по модернизации школьных систем образования</t>
  </si>
  <si>
    <t>из них на проведение противопожарных мероприятий</t>
  </si>
  <si>
    <t>Замена водоподогревателя с монтажом узла учета теплоснабжения, в том числе осуществление технического надзора</t>
  </si>
  <si>
    <t>Капитальный ремонт фасада нежилого здания (устройство вентилируемого фасада)</t>
  </si>
  <si>
    <t>МАДОУ - детский сад комбинированного вида № 82</t>
  </si>
  <si>
    <t>Ремонт фасада здания МАОУ СОШ № 18</t>
  </si>
  <si>
    <t>Установка системы оповещения, в том числе технический надзор</t>
  </si>
  <si>
    <t>МАДОУ "Детский сад № 7"</t>
  </si>
  <si>
    <t>Установка прибора учета тепловой энергии СП "Детский сад № 45"</t>
  </si>
  <si>
    <t>Установка прибора учета тепловой энергии СП "Детский сад № 46"</t>
  </si>
  <si>
    <t>МАДОУ "Детский сад № 17"</t>
  </si>
  <si>
    <t>Замена дверей входной группы МАДОУ "Детский сад № 17 СП "Детский сад № 42"</t>
  </si>
  <si>
    <t>Выполнение инструментального обследования конструкций нежилого здания</t>
  </si>
  <si>
    <t>МАДОУ "ЦРР - детский сад № 43"</t>
  </si>
  <si>
    <t>Аварийный ремонт ввода системы отопления</t>
  </si>
  <si>
    <t>Замена пожарного гидранта, в том числе приобретение гидранта</t>
  </si>
  <si>
    <t xml:space="preserve">Выполнение инструментального обследования конструкций кровли </t>
  </si>
  <si>
    <t>Ремонт кровли</t>
  </si>
  <si>
    <t>МАДОУ "Детский сад № 98"</t>
  </si>
  <si>
    <t>Ремонт лестничных маршей</t>
  </si>
  <si>
    <t>Монтаж теплового пункта, замена розлива отопления и стояков отопления по подвалу здания</t>
  </si>
  <si>
    <t>Ремонт потолка в спортзале</t>
  </si>
  <si>
    <t>Ремонт туалетов</t>
  </si>
  <si>
    <t>Замена оконных блоков в МАОУ СОШ № 21 СП ООШ № 29</t>
  </si>
  <si>
    <t>Замена оконных блоков, в том числе технический надзор</t>
  </si>
  <si>
    <t xml:space="preserve">Ремонт крыльца </t>
  </si>
  <si>
    <t>Замена оконных блоков МАОУ СОШ № 38 СП-О ООШ № 23</t>
  </si>
  <si>
    <t>МАУДО "ДДЮ"</t>
  </si>
  <si>
    <t>МАУДО "ЦЮТ"</t>
  </si>
  <si>
    <t>МАУ ЦООД "Горный"</t>
  </si>
  <si>
    <t>Монтаж аварийного эвакуационного освещения</t>
  </si>
  <si>
    <t>МАУ ЦМиХО</t>
  </si>
  <si>
    <t>Установка охранной сигнализации</t>
  </si>
  <si>
    <t>Физическая охрана</t>
  </si>
  <si>
    <t>МАДОУ "Детский сад № 143"</t>
  </si>
  <si>
    <t>Монтаж горячего водоснабжения в туалетах МАОУ СОШ № 1, МАОУ СОШ № 1 СП ООШ № 20, в т.ч. приобретение расходных материалов</t>
  </si>
  <si>
    <t>Замена оконных блоков, в том числе технический надзор, работы по оштукатуриванию внутренних откосов оконных проемов</t>
  </si>
  <si>
    <t>Ремонт лицевой части фасада с утеплением</t>
  </si>
  <si>
    <t>Ремонт крыльца</t>
  </si>
  <si>
    <t>Замена трассы теплоснабжения</t>
  </si>
  <si>
    <t>Монтаж системы оповещения и видеонаблюдения</t>
  </si>
  <si>
    <t xml:space="preserve">Монтаж охранной сигнализации  </t>
  </si>
  <si>
    <t>ИТОГО</t>
  </si>
  <si>
    <t>Разработка ПСД на монтаж АПС и речевого оповещения</t>
  </si>
  <si>
    <t>Ремонт системы освещения, в том числе приобретение светильников</t>
  </si>
  <si>
    <t>Ремонт фасада, в том числе разработка эскизного проекта и осуществление технического надзора</t>
  </si>
  <si>
    <t>Ремонт кровли, в т. ч. приобретение строительных материалов и выполнение отделочных работ, осуществление технического надзора</t>
  </si>
  <si>
    <t>Ремонт бойлера в МАДОУ "Детский сад № 5"</t>
  </si>
  <si>
    <t>Замена оконных блоков в МАДОУ "Детский сад № 5"</t>
  </si>
  <si>
    <t>Аварийный ремонт канализации в помещении пищеблока в МАДОУ "Детский сад № 7"</t>
  </si>
  <si>
    <t>Замена системы отопления и устранение засора коллектора канализации в помещении МАДОУ "Детский сад № 7" СП "Детский сад № 97"</t>
  </si>
  <si>
    <t>Разработка ПСД и проверка сметной документации на установку приборов учета тепловой энергии</t>
  </si>
  <si>
    <t>Аварийные работы по замене системы холодного водоснабжения в подвале</t>
  </si>
  <si>
    <t>Аварийно-восстановительные работы питающей линии розеточной сети и светильников освещения в прачечной</t>
  </si>
  <si>
    <t>Аварийный ремонт санузлов группы № 6</t>
  </si>
  <si>
    <t xml:space="preserve">Замена системы отопления  </t>
  </si>
  <si>
    <t>Аварийно восстановительные работы системы ХВС</t>
  </si>
  <si>
    <t>Поиск мест повреждения и ремонт кабельной линии 0,4кВ МАДОУ "Детский сад № 71"</t>
  </si>
  <si>
    <t>МАДОУ "Детский сад № 72"</t>
  </si>
  <si>
    <t>Аварийный ремонт по замене ввода теплосети МАДОУ "Детский сад № 72" СП "Детский сад № 12"</t>
  </si>
  <si>
    <t>МАДОУ "Детский сад № 75"</t>
  </si>
  <si>
    <t>Аварийный ремонт пола в коридоре 1-го этажа</t>
  </si>
  <si>
    <t>МАДОУ "Детский сад № 92"</t>
  </si>
  <si>
    <t>Аварийная замена розлива ГВС</t>
  </si>
  <si>
    <t>Замена водоподогревателя</t>
  </si>
  <si>
    <t>Ремонт потолков в помещении столовой</t>
  </si>
  <si>
    <t>Огнезащитная обработка деревянных конструкций</t>
  </si>
  <si>
    <t>Разработка и проверка смтеной документации</t>
  </si>
  <si>
    <t xml:space="preserve">МАУДО "ДвДТ" </t>
  </si>
  <si>
    <t>Осуществление технического контроля</t>
  </si>
  <si>
    <t>Замена ограждения</t>
  </si>
  <si>
    <t xml:space="preserve">Обеспечение физической охранной </t>
  </si>
  <si>
    <t>МАОУ СОШ № 15</t>
  </si>
  <si>
    <t>Установка домофона</t>
  </si>
  <si>
    <t>Монтаж системы видеонаблюдения (охранного телевидения)</t>
  </si>
  <si>
    <t>Монтаж электромагнитного замка и видеодомофона</t>
  </si>
  <si>
    <t>Разработка ПСД на демонтаж здания</t>
  </si>
  <si>
    <t>Замена трубопровода холодного водоснабжения в том числе проверка сметной документации</t>
  </si>
  <si>
    <t>Аварийный ремонт обратного трубопровода системы отопления</t>
  </si>
  <si>
    <t>Замена трассы теплоснабжения к зданию</t>
  </si>
  <si>
    <t>Замена аварийного оконного блока</t>
  </si>
  <si>
    <t>МАДОУ «Детский сад № 50»</t>
  </si>
  <si>
    <t>Монтаж теплового узла</t>
  </si>
  <si>
    <t>Ремонт и отделка помещений</t>
  </si>
  <si>
    <t>Электромонтажные работы (устройство аварийной ситуации)</t>
  </si>
  <si>
    <t>Ремонт бойлера и водоподогревателя</t>
  </si>
  <si>
    <t xml:space="preserve">МАДОУ "Детский сад комбинированного вида № 73" </t>
  </si>
  <si>
    <t>Выполнение аварийных работ порыва теплотрассы на вводе системы отопления</t>
  </si>
  <si>
    <t>Огнезащитеая обработка деревянных конструкций</t>
  </si>
  <si>
    <t>Установка ПАК "Стрилец-Мониторинг"</t>
  </si>
  <si>
    <t>Установка ограждений (перил)</t>
  </si>
  <si>
    <t>Установка ограждений лестничного марша</t>
  </si>
  <si>
    <t>Ремонт пола под станки</t>
  </si>
  <si>
    <t>Ремонт крыльца центральной входной группы здания школы, в том числе поставка материальных запасов</t>
  </si>
  <si>
    <t>Монтаж ВЛИ-0,4 заземляющего устройства</t>
  </si>
  <si>
    <t>Ремонт пожарной сигнализации в помещении спортивного зала</t>
  </si>
  <si>
    <t>Аварийные сантехнические работы в туалете 3 этажа</t>
  </si>
  <si>
    <t>Ремонт системы канализации</t>
  </si>
  <si>
    <t>Разработка эскизного проекта на ремонт фасада</t>
  </si>
  <si>
    <t>Аврийно-восстановительные работы (электротехнические) в помещениях кабинетов 1 этажа</t>
  </si>
  <si>
    <t>Замена платы питания БП-12/2А в приборе РСПИ ПАК "Стрелец-Мониторинг"</t>
  </si>
  <si>
    <t>Замена системы отопления</t>
  </si>
  <si>
    <t>Монтаж кнопка тресожного сообщения (2 объекта)</t>
  </si>
  <si>
    <t xml:space="preserve"> Осуществление технического надзора</t>
  </si>
  <si>
    <t>Приобретение видеокамер</t>
  </si>
  <si>
    <t xml:space="preserve">Разработка сметной документации на текущий ремонт (пути эвакуации) </t>
  </si>
  <si>
    <t>Проверка сметной документации замена радиаторов отопления, напольного покрытия, ремонт сан узлов</t>
  </si>
  <si>
    <t>Ремонт системы водоснабжения МАДОУ "Детский сад № 81" СП "Детский сад № 23"</t>
  </si>
  <si>
    <t>Разработка сметной документации</t>
  </si>
  <si>
    <t>Ремонт 
и противопожарные мероприятия</t>
  </si>
  <si>
    <t>Субсидия 
на проведение капитального ремонта зданий и сооружений муниципальных организаций дошкольного образования</t>
  </si>
  <si>
    <t>(рублей)</t>
  </si>
  <si>
    <t>Утверждено</t>
  </si>
  <si>
    <t>распоряжением Администрации</t>
  </si>
  <si>
    <t>Златоустовского городского округа</t>
  </si>
  <si>
    <t>средства областного 
и федерального бюджетов</t>
  </si>
  <si>
    <t>МАДОУ детский сад  № 5</t>
  </si>
  <si>
    <t>Общеобразовательные учреждения</t>
  </si>
  <si>
    <t>МАДОУ "ЦЦР - детский сад № 39"</t>
  </si>
  <si>
    <t xml:space="preserve">Частичный ремонт фасада  и козырька
</t>
  </si>
  <si>
    <t xml:space="preserve">Разработка ПСД на систему АПС и СОУЭ
</t>
  </si>
  <si>
    <t>Установка прибора учета тепловой энергии            в здании СП "Детский сад № 55"</t>
  </si>
  <si>
    <t>Устранение засора коллектора канализации             в МАДОУ "Детский сад № 7" СП "Детский сад № 46"</t>
  </si>
  <si>
    <t>Приобретение сантехнической продукции           в целях проведения ремонтных работ в МАДОУ "Детский сад № 17" и в структурных подразделениях МАДОУ "Детский сад № 17"</t>
  </si>
  <si>
    <t>Установка прибора учета тепловой энергии            в здании МАДОУ "Детский сад № 38"</t>
  </si>
  <si>
    <t>Аварийный ремонт системы горячего                   и холодного водоснабжения в помещении МАДОУ "Детский сад № 38"</t>
  </si>
  <si>
    <t>Выполнение работ по вскрытию шурфов          для обследования технического состояния здания МАДОУ "Детский сад № 38" СП "Детский сад № 93"</t>
  </si>
  <si>
    <t>Замена сетей холодного водоснабжения                 по территории</t>
  </si>
  <si>
    <t>Ремонт кабельно-воздушной линии 0,4 кВт</t>
  </si>
  <si>
    <t>Разработка ПСД на снос нежилого помещения расположенного по адресу: г. Златоуст,                      ул. Златоустовская, 40</t>
  </si>
  <si>
    <t>Ремонт кровли здания Структурного подразделения Учебные мастерские                         ул. им. Карла Маркса, д. 16,                                    в т.ч. осуществление технического контроля               и приобретение строительного материала</t>
  </si>
  <si>
    <t>Дополнительные отделочные работы в здании Структурного подразделения Учебные мастерские ул.Карла Маркса, д.16,                           в том числе приобретение строительных материалов</t>
  </si>
  <si>
    <t>Капитальный ремонт фасада.СПО МАОУ «Средняя общеобразовательная школа № 8», здание мастерских.Челябинская область, г.Златоуст, ул. им. Карла-Маркса, д. 16</t>
  </si>
  <si>
    <t>Дополнительные электромонтажные работы              в здании Структурного подразделения Учебные мастерские ул. им. Карла Маркса,               д. 16</t>
  </si>
  <si>
    <t>Замена канализации в здании СПО «Учебные мастерские» МАОУ «Средняя общеобразовательная школа №8», расположенном по адресу: г. Златоуст,                       ул. им. Карла-Маркса, д. 16</t>
  </si>
  <si>
    <t xml:space="preserve">Ремонтные сантехнические работы в здании СПО «Учебные мастерские»                            МАОУ СОШ № 8 </t>
  </si>
  <si>
    <t>Установка входных дверей и двере                          в подвальные помещения</t>
  </si>
  <si>
    <t>Осуществление технического надзора                      за выполнением ремонтных работ</t>
  </si>
  <si>
    <t>Установка прибора учета тепловой энергии                в здании МАОУ СОШ  № 18  СП ООШ № 19</t>
  </si>
  <si>
    <t>Приобретение строительных материалов                  для выполнения ремонтных работ в МАОУ СОШ № 18 СП ООШ № 12</t>
  </si>
  <si>
    <t>Установка прибора учета тепловой энергии                  в здании МАОУ СОШ  № 18 СП ООШ № 12</t>
  </si>
  <si>
    <t>Выполнение работ по обследованию грунтов          и несущих конструкций здания школы № 21, расположенной по адресу: г. Златоуст,                ул. Просвещения, 6</t>
  </si>
  <si>
    <t>Приобретение строительных материалов             в целях проведения ремонтных работ в помещении МАОУ СОШ № 21 СП ООШ № 5</t>
  </si>
  <si>
    <t xml:space="preserve">Выполнение ремонтных работ в кабинетах,            в том числе приобретение строительных материалов </t>
  </si>
  <si>
    <t>Ремонт и противопожарные мероприятия            в помещениях для создания детского технопарка "Кванториум", в том числе разработка проектно-сметной документации, проведение экспертизы достоверности сметной стоимости и услуги технического надзора (строительного контроля)</t>
  </si>
  <si>
    <t>Установка сантехнического оборудования             в санитарных комнатах</t>
  </si>
  <si>
    <t>Приобретение линолеума в целях проведения ремонтных работ в МАОУ СОШ № 38                   СП-отделение ООШ № 23</t>
  </si>
  <si>
    <t>Ремонт системы холодного водоснабжения             на территории МАОУ СОШ № 38</t>
  </si>
  <si>
    <t>Установка прибора учета тепловой энергии              в здании МАОУ СОШ № 90 СП-О ООШ                     № 77</t>
  </si>
  <si>
    <t>Установка прибора учета тепловой энергии           в здании МАОУ СОШ № 90 СП-О ООШ                     № 41</t>
  </si>
  <si>
    <t>Разработка сметной документации                         на устройство спортивной площадки</t>
  </si>
  <si>
    <t>Приобретение строительных материалов               в целях выполнения ремонтных работ</t>
  </si>
  <si>
    <t>Проведение вскрытия отдельных фрагментов здания в целях получения заключения                        по техническому обследованию</t>
  </si>
  <si>
    <t>Субсидия 
на проведение капитального ремонта зданий и сооружений муниципальных организаций отдыха             и оздоровления детей</t>
  </si>
  <si>
    <t>Ремонтные работы (промывка отопительной системы, ремонт лестничного марша                    (в том числе гораждения лестничного марша), устройство пандуса, разработка проектно-сметной документации и осуществление строительного контроля</t>
  </si>
  <si>
    <t>Замена блока питания БП-63 и подключение             к теплосчетчику</t>
  </si>
  <si>
    <t>Разработка проектно-сметной документации                    на установку узла учета тепловой энергии</t>
  </si>
  <si>
    <t>Установка прибора учета тепловой энергии МАДОУ "Детский сад № 17", МАДОУ "Детский сад № 17"  СП "Детский сад № 31", МАДОУ "Детский сад № 17"  СП "Детский сад № 42"                      1, 2, здание, в том числе осуществление технического надзора (технического контроля                     за установкой приборов учета тепловой энергии и перерасчет сметной стоимости документации</t>
  </si>
  <si>
    <t>Установка прибора учета тепловой энергии               в здании СП "Детский сад № 6"</t>
  </si>
  <si>
    <t>Восстановление инженерных сетей ОВ,                           в том числе технический надзор</t>
  </si>
  <si>
    <t>Обследование технического состояния здания                      с инженерно-геологическими изысканиями                    на земельном участке учреждения МАДОУ "Детский сад № 65" в целях возможности устройства эвакуационных выходов</t>
  </si>
  <si>
    <t xml:space="preserve">Замену водопровода в здании СПО «Учебные мастерские» МАОУ СОШ № 8 , расположенном по адресу:  г. Златоуст,                                                                ул. им. Карла-Маркса, д. 16 </t>
  </si>
  <si>
    <t>Капитальный ремонт здания Структурного подразделения Учебные мастерские                                    ул. им. Карла Маркса, д. 16</t>
  </si>
  <si>
    <t>Аварийный ремонт канализации МАОУ СОШ                  № 21 СП № 5</t>
  </si>
  <si>
    <t>Установка питьевого фонтанчика  и раковины                с пьедесталом в МАОУ СОШ № 21                        СП ООШ № 29</t>
  </si>
  <si>
    <t>Ремонт  розлива системы холодного                                       и горячего водоснабжения</t>
  </si>
  <si>
    <t>Выполнение работ по обследованию технического состояния строительных конструкций нежилого здания  МАОУ СОШ                   № 38 СПО ООШ № 23</t>
  </si>
  <si>
    <t xml:space="preserve">Замена дверных блоков в здании МАОУ СОШ             № 90  </t>
  </si>
  <si>
    <t>Разработка комплекса инженерно-технических              и организационных мероприятий по обеспечению пожарной безопасности МАОУ СОШ № 90 СП-О ООШ № 17</t>
  </si>
  <si>
    <t>Замена дверных блоков в здании МАОУ СОШ                 № 90 СП - О ООШ № 77</t>
  </si>
  <si>
    <t>Обследование технического состояния здания               с инженерно-геологическими изысканиями на земельном участке учреждения МАДОУ "Детский сад № 65" СП "Детский сад № 69"                          в целях возможности устройства эвакуационных выходов</t>
  </si>
  <si>
    <t>ПРИЛОЖЕНИЕ 1</t>
  </si>
  <si>
    <t>ПРИЛОЖЕНИЕ 2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</si>
  <si>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                                                         и молодежной политики Златоустовского городского округа на 2022 год</t>
  </si>
  <si>
    <t xml:space="preserve">Установка системы оповещения                            в помещении МАОУ СОШ № 1 </t>
  </si>
  <si>
    <t xml:space="preserve">Установка системы оповещения                         в помещении МАОУ СОШ № 1 СП ООШ                № 20 </t>
  </si>
  <si>
    <t>Разработка ПСД                    на капитальный ремонт ограждения (забора) МАОУ СОШ № 21 СП ООШ № 5</t>
  </si>
  <si>
    <t>Восстановление ограждения, монтаж системы оповещения                    и системы контроля управления доступом, видеонаблюдение</t>
  </si>
  <si>
    <t>Субсидия                                          на обеспечение образовательных организаций 1,2 категории квалифицированной охраной</t>
  </si>
  <si>
    <t>Субсидия                              на обеспечение требований                              к антитеррористической защищенности объектов (территорий) государственных                          и муниципальных общеобразовательных организаций</t>
  </si>
  <si>
    <t>Субсидия                                          на проведение мероприятий                            по профилактике терроризма                               и экстремизма,                       а также минимизации                                       и (или) ликвидации последствий проявлений терроризма                                              и экстремизма</t>
  </si>
  <si>
    <t>Приобретение видеорегистратора                               и жесткого диска</t>
  </si>
  <si>
    <t>от 27.12.2022 г. № 3865-р/АДМ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</si>
</sst>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164" fontId="2" fillId="0" borderId="5" xfId="1" applyFont="1" applyFill="1" applyBorder="1" applyAlignment="1">
      <alignment horizontal="right" vertical="center"/>
    </xf>
    <xf numFmtId="164" fontId="2" fillId="0" borderId="5" xfId="1" applyFont="1" applyFill="1" applyBorder="1" applyAlignment="1">
      <alignment horizontal="right" vertical="center" wrapText="1" shrinkToFit="1"/>
    </xf>
    <xf numFmtId="4" fontId="2" fillId="0" borderId="5" xfId="1" applyNumberFormat="1" applyFont="1" applyFill="1" applyBorder="1" applyAlignment="1">
      <alignment vertical="center"/>
    </xf>
    <xf numFmtId="164" fontId="2" fillId="0" borderId="5" xfId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horizontal="center" vertical="center" wrapText="1" shrinkToFit="1"/>
    </xf>
    <xf numFmtId="4" fontId="0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164" fontId="2" fillId="0" borderId="0" xfId="1" applyFont="1" applyFill="1" applyAlignment="1">
      <alignment horizontal="right" vertical="center" wrapText="1" shrinkToFit="1"/>
    </xf>
    <xf numFmtId="164" fontId="2" fillId="0" borderId="0" xfId="1" applyFont="1" applyFill="1" applyAlignment="1">
      <alignment horizontal="right" vertical="center"/>
    </xf>
    <xf numFmtId="164" fontId="0" fillId="0" borderId="0" xfId="1" applyFont="1" applyFill="1" applyAlignment="1">
      <alignment horizontal="right" vertical="center"/>
    </xf>
    <xf numFmtId="164" fontId="0" fillId="0" borderId="0" xfId="1" applyFont="1" applyFill="1" applyAlignment="1">
      <alignment horizontal="right" vertical="center" wrapText="1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/>
    </xf>
    <xf numFmtId="43" fontId="2" fillId="0" borderId="0" xfId="0" applyNumberFormat="1" applyFont="1" applyFill="1"/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/>
    <xf numFmtId="4" fontId="2" fillId="0" borderId="5" xfId="0" applyNumberFormat="1" applyFont="1" applyFill="1" applyBorder="1" applyAlignment="1">
      <alignment vertical="center"/>
    </xf>
    <xf numFmtId="164" fontId="2" fillId="0" borderId="5" xfId="1" applyFont="1" applyFill="1" applyBorder="1"/>
    <xf numFmtId="0" fontId="2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 wrapText="1" shrinkToFit="1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/>
    </xf>
    <xf numFmtId="164" fontId="2" fillId="0" borderId="0" xfId="1" applyFont="1" applyFill="1" applyAlignment="1">
      <alignment horizontal="center" vertical="center" wrapText="1" shrinkToFit="1"/>
    </xf>
    <xf numFmtId="164" fontId="2" fillId="0" borderId="0" xfId="1" applyFont="1" applyFill="1" applyAlignment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164" fontId="2" fillId="0" borderId="1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7" xfId="0" applyFont="1" applyFill="1" applyBorder="1" applyAlignment="1">
      <alignment horizontal="justify" vertical="center" wrapText="1" shrinkToFit="1"/>
    </xf>
    <xf numFmtId="0" fontId="2" fillId="0" borderId="4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2" zoomScale="110" zoomScaleNormal="110" workbookViewId="0">
      <selection activeCell="E6" sqref="E6"/>
    </sheetView>
  </sheetViews>
  <sheetFormatPr defaultRowHeight="12.75" x14ac:dyDescent="0.2"/>
  <cols>
    <col min="1" max="1" width="19.28515625" style="9" customWidth="1"/>
    <col min="2" max="2" width="19.42578125" style="24" customWidth="1"/>
    <col min="3" max="3" width="39" style="11" customWidth="1"/>
    <col min="4" max="4" width="18.85546875" style="12" customWidth="1"/>
    <col min="5" max="5" width="16" style="30" customWidth="1"/>
    <col min="6" max="6" width="14" style="30" customWidth="1"/>
    <col min="7" max="7" width="14.7109375" style="29" customWidth="1"/>
    <col min="8" max="8" width="14.5703125" style="13" bestFit="1" customWidth="1"/>
    <col min="9" max="9" width="13.5703125" style="13" customWidth="1"/>
    <col min="10" max="10" width="13.7109375" style="13" customWidth="1"/>
    <col min="11" max="11" width="9.140625" style="13"/>
    <col min="12" max="16384" width="9.140625" style="10"/>
  </cols>
  <sheetData>
    <row r="1" spans="1:7" ht="42.75" hidden="1" customHeight="1" x14ac:dyDescent="0.2">
      <c r="E1" s="50"/>
      <c r="F1" s="50"/>
      <c r="G1" s="50"/>
    </row>
    <row r="2" spans="1:7" ht="24.95" customHeight="1" x14ac:dyDescent="0.2">
      <c r="E2" s="31" t="s">
        <v>289</v>
      </c>
      <c r="G2" s="27"/>
    </row>
    <row r="3" spans="1:7" ht="24.95" customHeight="1" x14ac:dyDescent="0.2">
      <c r="E3" s="31" t="s">
        <v>230</v>
      </c>
      <c r="G3" s="27"/>
    </row>
    <row r="4" spans="1:7" ht="24.95" customHeight="1" x14ac:dyDescent="0.2">
      <c r="E4" s="31" t="s">
        <v>231</v>
      </c>
      <c r="G4" s="27"/>
    </row>
    <row r="5" spans="1:7" ht="24.95" customHeight="1" x14ac:dyDescent="0.2">
      <c r="E5" s="31" t="s">
        <v>232</v>
      </c>
      <c r="G5" s="27"/>
    </row>
    <row r="6" spans="1:7" ht="24.95" customHeight="1" x14ac:dyDescent="0.2">
      <c r="E6" s="31" t="s">
        <v>300</v>
      </c>
      <c r="G6" s="27"/>
    </row>
    <row r="7" spans="1:7" ht="15" customHeight="1" x14ac:dyDescent="0.2">
      <c r="E7" s="27"/>
      <c r="F7" s="27"/>
      <c r="G7" s="27"/>
    </row>
    <row r="8" spans="1:7" ht="13.5" customHeight="1" x14ac:dyDescent="0.2">
      <c r="E8" s="51"/>
      <c r="F8" s="51"/>
      <c r="G8" s="51"/>
    </row>
    <row r="9" spans="1:7" ht="63" customHeight="1" x14ac:dyDescent="0.2">
      <c r="A9" s="53" t="s">
        <v>0</v>
      </c>
      <c r="B9" s="53"/>
      <c r="C9" s="53"/>
      <c r="D9" s="53"/>
      <c r="E9" s="53"/>
      <c r="F9" s="53"/>
      <c r="G9" s="53"/>
    </row>
    <row r="10" spans="1:7" ht="19.5" customHeight="1" x14ac:dyDescent="0.2">
      <c r="A10" s="14"/>
      <c r="B10" s="25"/>
      <c r="C10" s="16"/>
      <c r="D10" s="17"/>
      <c r="E10" s="27"/>
      <c r="F10" s="27"/>
      <c r="G10" s="28" t="s">
        <v>229</v>
      </c>
    </row>
    <row r="11" spans="1:7" ht="12.75" customHeight="1" x14ac:dyDescent="0.2">
      <c r="A11" s="46" t="s">
        <v>1</v>
      </c>
      <c r="B11" s="46" t="s">
        <v>2</v>
      </c>
      <c r="C11" s="46" t="s">
        <v>3</v>
      </c>
      <c r="D11" s="46" t="s">
        <v>98</v>
      </c>
      <c r="E11" s="52" t="s">
        <v>4</v>
      </c>
      <c r="F11" s="52" t="s">
        <v>5</v>
      </c>
      <c r="G11" s="52"/>
    </row>
    <row r="12" spans="1:7" ht="63.75" x14ac:dyDescent="0.2">
      <c r="A12" s="46"/>
      <c r="B12" s="46"/>
      <c r="C12" s="46"/>
      <c r="D12" s="46"/>
      <c r="E12" s="52"/>
      <c r="F12" s="6" t="s">
        <v>233</v>
      </c>
      <c r="G12" s="6" t="s">
        <v>6</v>
      </c>
    </row>
    <row r="13" spans="1:7" ht="42.75" customHeight="1" x14ac:dyDescent="0.2">
      <c r="A13" s="46" t="s">
        <v>7</v>
      </c>
      <c r="B13" s="44" t="s">
        <v>25</v>
      </c>
      <c r="C13" s="5" t="s">
        <v>237</v>
      </c>
      <c r="D13" s="18" t="s">
        <v>227</v>
      </c>
      <c r="E13" s="2">
        <f>F13+G13</f>
        <v>202500</v>
      </c>
      <c r="F13" s="2">
        <v>0</v>
      </c>
      <c r="G13" s="2">
        <v>202500</v>
      </c>
    </row>
    <row r="14" spans="1:7" ht="38.25" x14ac:dyDescent="0.2">
      <c r="A14" s="46"/>
      <c r="B14" s="44"/>
      <c r="C14" s="5" t="s">
        <v>30</v>
      </c>
      <c r="D14" s="18" t="s">
        <v>227</v>
      </c>
      <c r="E14" s="2">
        <f t="shared" ref="E14:E80" si="0">F14+G14</f>
        <v>20000</v>
      </c>
      <c r="F14" s="2">
        <v>0</v>
      </c>
      <c r="G14" s="2">
        <v>20000</v>
      </c>
    </row>
    <row r="15" spans="1:7" ht="38.25" x14ac:dyDescent="0.2">
      <c r="A15" s="46"/>
      <c r="B15" s="44"/>
      <c r="C15" s="5" t="s">
        <v>34</v>
      </c>
      <c r="D15" s="18" t="s">
        <v>227</v>
      </c>
      <c r="E15" s="2">
        <f t="shared" si="0"/>
        <v>171666.67</v>
      </c>
      <c r="F15" s="2">
        <v>0</v>
      </c>
      <c r="G15" s="2">
        <v>171666.67</v>
      </c>
    </row>
    <row r="16" spans="1:7" ht="38.25" x14ac:dyDescent="0.2">
      <c r="A16" s="46"/>
      <c r="B16" s="44"/>
      <c r="C16" s="5" t="s">
        <v>238</v>
      </c>
      <c r="D16" s="18" t="s">
        <v>227</v>
      </c>
      <c r="E16" s="2">
        <f t="shared" si="0"/>
        <v>71400</v>
      </c>
      <c r="F16" s="2">
        <v>0</v>
      </c>
      <c r="G16" s="2">
        <v>71400</v>
      </c>
    </row>
    <row r="17" spans="1:7" ht="38.25" x14ac:dyDescent="0.2">
      <c r="A17" s="46"/>
      <c r="B17" s="44"/>
      <c r="C17" s="8" t="s">
        <v>35</v>
      </c>
      <c r="D17" s="18" t="s">
        <v>227</v>
      </c>
      <c r="E17" s="2">
        <f t="shared" si="0"/>
        <v>82000</v>
      </c>
      <c r="F17" s="2">
        <v>0</v>
      </c>
      <c r="G17" s="2">
        <v>82000</v>
      </c>
    </row>
    <row r="18" spans="1:7" ht="39.75" customHeight="1" x14ac:dyDescent="0.2">
      <c r="A18" s="46"/>
      <c r="B18" s="44" t="s">
        <v>36</v>
      </c>
      <c r="C18" s="8" t="s">
        <v>37</v>
      </c>
      <c r="D18" s="18" t="s">
        <v>227</v>
      </c>
      <c r="E18" s="2">
        <f t="shared" si="0"/>
        <v>48300</v>
      </c>
      <c r="F18" s="2">
        <v>0</v>
      </c>
      <c r="G18" s="2">
        <v>48300</v>
      </c>
    </row>
    <row r="19" spans="1:7" ht="39.75" customHeight="1" x14ac:dyDescent="0.2">
      <c r="A19" s="46"/>
      <c r="B19" s="44"/>
      <c r="C19" s="7" t="s">
        <v>194</v>
      </c>
      <c r="D19" s="18" t="s">
        <v>227</v>
      </c>
      <c r="E19" s="2">
        <f t="shared" si="0"/>
        <v>100000</v>
      </c>
      <c r="F19" s="2">
        <v>0</v>
      </c>
      <c r="G19" s="2">
        <v>100000</v>
      </c>
    </row>
    <row r="20" spans="1:7" ht="39.75" customHeight="1" x14ac:dyDescent="0.2">
      <c r="A20" s="46"/>
      <c r="B20" s="44" t="s">
        <v>234</v>
      </c>
      <c r="C20" s="8" t="s">
        <v>165</v>
      </c>
      <c r="D20" s="18" t="s">
        <v>227</v>
      </c>
      <c r="E20" s="2">
        <f t="shared" si="0"/>
        <v>61064.76</v>
      </c>
      <c r="F20" s="2"/>
      <c r="G20" s="2">
        <v>61064.76</v>
      </c>
    </row>
    <row r="21" spans="1:7" ht="39.75" customHeight="1" x14ac:dyDescent="0.2">
      <c r="A21" s="46"/>
      <c r="B21" s="44"/>
      <c r="C21" s="8" t="s">
        <v>166</v>
      </c>
      <c r="D21" s="18" t="s">
        <v>227</v>
      </c>
      <c r="E21" s="2">
        <f t="shared" si="0"/>
        <v>243335.24</v>
      </c>
      <c r="F21" s="2"/>
      <c r="G21" s="2">
        <v>243335.24</v>
      </c>
    </row>
    <row r="22" spans="1:7" ht="39.75" customHeight="1" x14ac:dyDescent="0.2">
      <c r="A22" s="46"/>
      <c r="B22" s="44"/>
      <c r="C22" s="7" t="s">
        <v>239</v>
      </c>
      <c r="D22" s="18" t="s">
        <v>227</v>
      </c>
      <c r="E22" s="2">
        <f t="shared" si="0"/>
        <v>284000</v>
      </c>
      <c r="F22" s="2">
        <v>0</v>
      </c>
      <c r="G22" s="2">
        <f>294200-10200</f>
        <v>284000</v>
      </c>
    </row>
    <row r="23" spans="1:7" ht="39.75" customHeight="1" x14ac:dyDescent="0.2">
      <c r="A23" s="46"/>
      <c r="B23" s="44"/>
      <c r="C23" s="7" t="s">
        <v>274</v>
      </c>
      <c r="D23" s="18" t="s">
        <v>227</v>
      </c>
      <c r="E23" s="2">
        <f t="shared" si="0"/>
        <v>13900</v>
      </c>
      <c r="F23" s="2">
        <v>0</v>
      </c>
      <c r="G23" s="2">
        <v>13900</v>
      </c>
    </row>
    <row r="24" spans="1:7" ht="39.75" customHeight="1" x14ac:dyDescent="0.2">
      <c r="A24" s="46"/>
      <c r="B24" s="44" t="s">
        <v>125</v>
      </c>
      <c r="C24" s="7" t="s">
        <v>167</v>
      </c>
      <c r="D24" s="18" t="s">
        <v>227</v>
      </c>
      <c r="E24" s="2">
        <f t="shared" si="0"/>
        <v>31740.16</v>
      </c>
      <c r="F24" s="2"/>
      <c r="G24" s="2">
        <v>31740.16</v>
      </c>
    </row>
    <row r="25" spans="1:7" ht="39.75" customHeight="1" x14ac:dyDescent="0.2">
      <c r="A25" s="46"/>
      <c r="B25" s="44"/>
      <c r="C25" s="7" t="s">
        <v>126</v>
      </c>
      <c r="D25" s="18" t="s">
        <v>227</v>
      </c>
      <c r="E25" s="2">
        <f t="shared" si="0"/>
        <v>164859</v>
      </c>
      <c r="F25" s="2">
        <v>0</v>
      </c>
      <c r="G25" s="2">
        <f>165066-207</f>
        <v>164859</v>
      </c>
    </row>
    <row r="26" spans="1:7" ht="39.75" customHeight="1" x14ac:dyDescent="0.2">
      <c r="A26" s="46"/>
      <c r="B26" s="44"/>
      <c r="C26" s="7" t="s">
        <v>127</v>
      </c>
      <c r="D26" s="18" t="s">
        <v>227</v>
      </c>
      <c r="E26" s="2">
        <f t="shared" si="0"/>
        <v>186000</v>
      </c>
      <c r="F26" s="2">
        <v>0</v>
      </c>
      <c r="G26" s="2">
        <f>192190-6190</f>
        <v>186000</v>
      </c>
    </row>
    <row r="27" spans="1:7" ht="39.75" customHeight="1" x14ac:dyDescent="0.2">
      <c r="A27" s="46"/>
      <c r="B27" s="44"/>
      <c r="C27" s="7" t="s">
        <v>240</v>
      </c>
      <c r="D27" s="18" t="s">
        <v>227</v>
      </c>
      <c r="E27" s="2">
        <f t="shared" si="0"/>
        <v>3897.83</v>
      </c>
      <c r="F27" s="2"/>
      <c r="G27" s="2">
        <v>3897.83</v>
      </c>
    </row>
    <row r="28" spans="1:7" ht="51" x14ac:dyDescent="0.2">
      <c r="A28" s="46"/>
      <c r="B28" s="44"/>
      <c r="C28" s="7" t="s">
        <v>168</v>
      </c>
      <c r="D28" s="18" t="s">
        <v>227</v>
      </c>
      <c r="E28" s="2">
        <f t="shared" si="0"/>
        <v>48757.78</v>
      </c>
      <c r="F28" s="2"/>
      <c r="G28" s="2">
        <v>48757.78</v>
      </c>
    </row>
    <row r="29" spans="1:7" ht="38.25" x14ac:dyDescent="0.2">
      <c r="A29" s="46"/>
      <c r="B29" s="26" t="s">
        <v>39</v>
      </c>
      <c r="C29" s="8" t="s">
        <v>38</v>
      </c>
      <c r="D29" s="18" t="s">
        <v>227</v>
      </c>
      <c r="E29" s="2">
        <f t="shared" si="0"/>
        <v>85790</v>
      </c>
      <c r="F29" s="2">
        <v>0</v>
      </c>
      <c r="G29" s="1">
        <v>85790</v>
      </c>
    </row>
    <row r="30" spans="1:7" ht="123" customHeight="1" x14ac:dyDescent="0.2">
      <c r="A30" s="46"/>
      <c r="B30" s="44" t="s">
        <v>128</v>
      </c>
      <c r="C30" s="8" t="s">
        <v>275</v>
      </c>
      <c r="D30" s="18" t="s">
        <v>227</v>
      </c>
      <c r="E30" s="2">
        <f t="shared" si="0"/>
        <v>647688.02</v>
      </c>
      <c r="F30" s="2">
        <v>0</v>
      </c>
      <c r="G30" s="1">
        <f>156000+156000+280000+17500-31.2+42116-3896.78</f>
        <v>647688.02</v>
      </c>
    </row>
    <row r="31" spans="1:7" ht="51" x14ac:dyDescent="0.2">
      <c r="A31" s="46"/>
      <c r="B31" s="44"/>
      <c r="C31" s="7" t="s">
        <v>241</v>
      </c>
      <c r="D31" s="18" t="s">
        <v>227</v>
      </c>
      <c r="E31" s="2">
        <f t="shared" si="0"/>
        <v>27778</v>
      </c>
      <c r="F31" s="2">
        <v>0</v>
      </c>
      <c r="G31" s="1">
        <v>27778</v>
      </c>
    </row>
    <row r="32" spans="1:7" ht="38.25" x14ac:dyDescent="0.2">
      <c r="A32" s="46"/>
      <c r="B32" s="44"/>
      <c r="C32" s="7" t="s">
        <v>129</v>
      </c>
      <c r="D32" s="18" t="s">
        <v>227</v>
      </c>
      <c r="E32" s="2">
        <f t="shared" si="0"/>
        <v>31550</v>
      </c>
      <c r="F32" s="2">
        <v>0</v>
      </c>
      <c r="G32" s="1">
        <v>31550</v>
      </c>
    </row>
    <row r="33" spans="1:7" ht="38.25" x14ac:dyDescent="0.2">
      <c r="A33" s="46"/>
      <c r="B33" s="44"/>
      <c r="C33" s="7" t="s">
        <v>195</v>
      </c>
      <c r="D33" s="18" t="s">
        <v>227</v>
      </c>
      <c r="E33" s="2">
        <f t="shared" si="0"/>
        <v>130115</v>
      </c>
      <c r="F33" s="2">
        <v>0</v>
      </c>
      <c r="G33" s="1">
        <v>130115</v>
      </c>
    </row>
    <row r="34" spans="1:7" ht="38.25" x14ac:dyDescent="0.2">
      <c r="A34" s="46"/>
      <c r="B34" s="44" t="s">
        <v>29</v>
      </c>
      <c r="C34" s="5" t="s">
        <v>120</v>
      </c>
      <c r="D34" s="18" t="s">
        <v>227</v>
      </c>
      <c r="E34" s="2">
        <f t="shared" si="0"/>
        <v>731508.98</v>
      </c>
      <c r="F34" s="2">
        <v>0</v>
      </c>
      <c r="G34" s="2">
        <f>763709+49280.25-81480.27</f>
        <v>731508.98</v>
      </c>
    </row>
    <row r="35" spans="1:7" ht="38.25" x14ac:dyDescent="0.2">
      <c r="A35" s="46"/>
      <c r="B35" s="44"/>
      <c r="C35" s="8" t="s">
        <v>10</v>
      </c>
      <c r="D35" s="18" t="s">
        <v>227</v>
      </c>
      <c r="E35" s="2">
        <f t="shared" si="0"/>
        <v>68700</v>
      </c>
      <c r="F35" s="2">
        <v>0</v>
      </c>
      <c r="G35" s="2">
        <v>68700</v>
      </c>
    </row>
    <row r="36" spans="1:7" ht="38.25" x14ac:dyDescent="0.2">
      <c r="A36" s="46"/>
      <c r="B36" s="44"/>
      <c r="C36" s="7" t="s">
        <v>196</v>
      </c>
      <c r="D36" s="18" t="s">
        <v>227</v>
      </c>
      <c r="E36" s="2">
        <f t="shared" si="0"/>
        <v>13508.5</v>
      </c>
      <c r="F36" s="2">
        <v>0</v>
      </c>
      <c r="G36" s="2">
        <v>13508.5</v>
      </c>
    </row>
    <row r="37" spans="1:7" ht="38.25" x14ac:dyDescent="0.2">
      <c r="A37" s="46"/>
      <c r="B37" s="44" t="s">
        <v>40</v>
      </c>
      <c r="C37" s="8" t="s">
        <v>10</v>
      </c>
      <c r="D37" s="18" t="s">
        <v>227</v>
      </c>
      <c r="E37" s="2">
        <f t="shared" si="0"/>
        <v>128348</v>
      </c>
      <c r="F37" s="2">
        <v>0</v>
      </c>
      <c r="G37" s="1">
        <v>128348</v>
      </c>
    </row>
    <row r="38" spans="1:7" ht="38.25" x14ac:dyDescent="0.2">
      <c r="A38" s="46"/>
      <c r="B38" s="44"/>
      <c r="C38" s="8" t="s">
        <v>157</v>
      </c>
      <c r="D38" s="18" t="s">
        <v>227</v>
      </c>
      <c r="E38" s="2">
        <f t="shared" si="0"/>
        <v>1230575.2</v>
      </c>
      <c r="F38" s="2">
        <v>0</v>
      </c>
      <c r="G38" s="1">
        <v>1230575.2</v>
      </c>
    </row>
    <row r="39" spans="1:7" ht="38.25" x14ac:dyDescent="0.2">
      <c r="A39" s="46"/>
      <c r="B39" s="44"/>
      <c r="C39" s="19" t="s">
        <v>130</v>
      </c>
      <c r="D39" s="18" t="s">
        <v>227</v>
      </c>
      <c r="E39" s="2">
        <f t="shared" si="0"/>
        <v>98000</v>
      </c>
      <c r="F39" s="2">
        <v>0</v>
      </c>
      <c r="G39" s="1">
        <v>98000</v>
      </c>
    </row>
    <row r="40" spans="1:7" ht="38.25" x14ac:dyDescent="0.2">
      <c r="A40" s="46"/>
      <c r="B40" s="44"/>
      <c r="C40" s="7" t="s">
        <v>197</v>
      </c>
      <c r="D40" s="18" t="s">
        <v>227</v>
      </c>
      <c r="E40" s="2">
        <f t="shared" si="0"/>
        <v>40807</v>
      </c>
      <c r="F40" s="2">
        <v>0</v>
      </c>
      <c r="G40" s="1">
        <v>40807</v>
      </c>
    </row>
    <row r="41" spans="1:7" ht="38.25" x14ac:dyDescent="0.2">
      <c r="A41" s="46"/>
      <c r="B41" s="44" t="s">
        <v>41</v>
      </c>
      <c r="C41" s="8" t="s">
        <v>42</v>
      </c>
      <c r="D41" s="18" t="s">
        <v>227</v>
      </c>
      <c r="E41" s="2">
        <f t="shared" si="0"/>
        <v>78000</v>
      </c>
      <c r="F41" s="2">
        <v>0</v>
      </c>
      <c r="G41" s="1">
        <v>78000</v>
      </c>
    </row>
    <row r="42" spans="1:7" ht="38.25" x14ac:dyDescent="0.2">
      <c r="A42" s="46"/>
      <c r="B42" s="44"/>
      <c r="C42" s="8" t="s">
        <v>10</v>
      </c>
      <c r="D42" s="18" t="s">
        <v>227</v>
      </c>
      <c r="E42" s="2">
        <f t="shared" si="0"/>
        <v>35000</v>
      </c>
      <c r="F42" s="2">
        <v>0</v>
      </c>
      <c r="G42" s="1">
        <v>35000</v>
      </c>
    </row>
    <row r="43" spans="1:7" ht="38.25" x14ac:dyDescent="0.2">
      <c r="A43" s="46"/>
      <c r="B43" s="44"/>
      <c r="C43" s="5" t="s">
        <v>198</v>
      </c>
      <c r="D43" s="18" t="s">
        <v>227</v>
      </c>
      <c r="E43" s="2">
        <f t="shared" si="0"/>
        <v>26000</v>
      </c>
      <c r="F43" s="2">
        <v>0</v>
      </c>
      <c r="G43" s="1">
        <v>26000</v>
      </c>
    </row>
    <row r="44" spans="1:7" ht="38.25" x14ac:dyDescent="0.2">
      <c r="A44" s="46"/>
      <c r="B44" s="44" t="s">
        <v>43</v>
      </c>
      <c r="C44" s="8" t="s">
        <v>61</v>
      </c>
      <c r="D44" s="18" t="s">
        <v>227</v>
      </c>
      <c r="E44" s="2">
        <f t="shared" si="0"/>
        <v>94000</v>
      </c>
      <c r="F44" s="2">
        <v>0</v>
      </c>
      <c r="G44" s="1">
        <v>94000</v>
      </c>
    </row>
    <row r="45" spans="1:7" ht="38.25" x14ac:dyDescent="0.2">
      <c r="A45" s="46"/>
      <c r="B45" s="44"/>
      <c r="C45" s="7" t="s">
        <v>242</v>
      </c>
      <c r="D45" s="18" t="s">
        <v>227</v>
      </c>
      <c r="E45" s="2">
        <f t="shared" si="0"/>
        <v>239000</v>
      </c>
      <c r="F45" s="2">
        <v>0</v>
      </c>
      <c r="G45" s="1">
        <f>294200-55200</f>
        <v>239000</v>
      </c>
    </row>
    <row r="46" spans="1:7" ht="38.25" x14ac:dyDescent="0.2">
      <c r="A46" s="46"/>
      <c r="B46" s="44"/>
      <c r="C46" s="7" t="s">
        <v>169</v>
      </c>
      <c r="D46" s="18" t="s">
        <v>227</v>
      </c>
      <c r="E46" s="2">
        <f t="shared" si="0"/>
        <v>30875</v>
      </c>
      <c r="F46" s="2"/>
      <c r="G46" s="1">
        <v>30875</v>
      </c>
    </row>
    <row r="47" spans="1:7" ht="38.25" x14ac:dyDescent="0.2">
      <c r="A47" s="46"/>
      <c r="B47" s="44"/>
      <c r="C47" s="8" t="s">
        <v>243</v>
      </c>
      <c r="D47" s="18" t="s">
        <v>227</v>
      </c>
      <c r="E47" s="2">
        <f t="shared" si="0"/>
        <v>129882</v>
      </c>
      <c r="F47" s="2"/>
      <c r="G47" s="1">
        <v>129882</v>
      </c>
    </row>
    <row r="48" spans="1:7" ht="38.25" x14ac:dyDescent="0.2">
      <c r="A48" s="46"/>
      <c r="B48" s="44"/>
      <c r="C48" s="19" t="s">
        <v>130</v>
      </c>
      <c r="D48" s="18" t="s">
        <v>227</v>
      </c>
      <c r="E48" s="2">
        <f t="shared" si="0"/>
        <v>98000</v>
      </c>
      <c r="F48" s="2">
        <v>0</v>
      </c>
      <c r="G48" s="1">
        <v>98000</v>
      </c>
    </row>
    <row r="49" spans="1:7" ht="51" x14ac:dyDescent="0.2">
      <c r="A49" s="46"/>
      <c r="B49" s="44"/>
      <c r="C49" s="7" t="s">
        <v>244</v>
      </c>
      <c r="D49" s="18" t="s">
        <v>227</v>
      </c>
      <c r="E49" s="2">
        <f t="shared" si="0"/>
        <v>83800</v>
      </c>
      <c r="F49" s="2"/>
      <c r="G49" s="1">
        <v>83800</v>
      </c>
    </row>
    <row r="50" spans="1:7" ht="38.25" x14ac:dyDescent="0.2">
      <c r="A50" s="46"/>
      <c r="B50" s="44"/>
      <c r="C50" s="7" t="s">
        <v>276</v>
      </c>
      <c r="D50" s="18" t="s">
        <v>227</v>
      </c>
      <c r="E50" s="2">
        <f t="shared" si="0"/>
        <v>239000</v>
      </c>
      <c r="F50" s="2">
        <v>0</v>
      </c>
      <c r="G50" s="1">
        <f>294200-55200</f>
        <v>239000</v>
      </c>
    </row>
    <row r="51" spans="1:7" ht="38.25" x14ac:dyDescent="0.2">
      <c r="A51" s="46"/>
      <c r="B51" s="44"/>
      <c r="C51" s="7" t="s">
        <v>223</v>
      </c>
      <c r="D51" s="18" t="s">
        <v>227</v>
      </c>
      <c r="E51" s="2">
        <f t="shared" si="0"/>
        <v>2979</v>
      </c>
      <c r="F51" s="2">
        <v>0</v>
      </c>
      <c r="G51" s="1">
        <v>2979</v>
      </c>
    </row>
    <row r="52" spans="1:7" ht="38.25" x14ac:dyDescent="0.2">
      <c r="A52" s="46"/>
      <c r="B52" s="26" t="s">
        <v>236</v>
      </c>
      <c r="C52" s="7" t="s">
        <v>10</v>
      </c>
      <c r="D52" s="18" t="s">
        <v>227</v>
      </c>
      <c r="E52" s="2">
        <f t="shared" si="0"/>
        <v>40664</v>
      </c>
      <c r="F52" s="2"/>
      <c r="G52" s="1">
        <f>40700-36</f>
        <v>40664</v>
      </c>
    </row>
    <row r="53" spans="1:7" ht="38.25" x14ac:dyDescent="0.2">
      <c r="A53" s="46"/>
      <c r="B53" s="26" t="s">
        <v>131</v>
      </c>
      <c r="C53" s="8" t="s">
        <v>10</v>
      </c>
      <c r="D53" s="18" t="s">
        <v>227</v>
      </c>
      <c r="E53" s="2">
        <f t="shared" si="0"/>
        <v>150362.96</v>
      </c>
      <c r="F53" s="2">
        <v>0</v>
      </c>
      <c r="G53" s="1">
        <f>150400-37.04</f>
        <v>150362.96</v>
      </c>
    </row>
    <row r="54" spans="1:7" ht="38.25" x14ac:dyDescent="0.2">
      <c r="A54" s="46"/>
      <c r="B54" s="44" t="s">
        <v>44</v>
      </c>
      <c r="C54" s="8" t="s">
        <v>10</v>
      </c>
      <c r="D54" s="18" t="s">
        <v>227</v>
      </c>
      <c r="E54" s="2">
        <f t="shared" si="0"/>
        <v>428000</v>
      </c>
      <c r="F54" s="2">
        <v>0</v>
      </c>
      <c r="G54" s="1">
        <v>428000</v>
      </c>
    </row>
    <row r="55" spans="1:7" ht="38.25" x14ac:dyDescent="0.2">
      <c r="A55" s="46"/>
      <c r="B55" s="44"/>
      <c r="C55" s="7" t="s">
        <v>170</v>
      </c>
      <c r="D55" s="18" t="s">
        <v>227</v>
      </c>
      <c r="E55" s="2">
        <f t="shared" si="0"/>
        <v>111605.5</v>
      </c>
      <c r="F55" s="2"/>
      <c r="G55" s="1">
        <v>111605.5</v>
      </c>
    </row>
    <row r="56" spans="1:7" ht="38.25" x14ac:dyDescent="0.2">
      <c r="A56" s="46"/>
      <c r="B56" s="44"/>
      <c r="C56" s="7" t="s">
        <v>171</v>
      </c>
      <c r="D56" s="18" t="s">
        <v>227</v>
      </c>
      <c r="E56" s="2">
        <f t="shared" si="0"/>
        <v>39838</v>
      </c>
      <c r="F56" s="2"/>
      <c r="G56" s="1">
        <v>39838</v>
      </c>
    </row>
    <row r="57" spans="1:7" ht="38.25" x14ac:dyDescent="0.2">
      <c r="A57" s="46"/>
      <c r="B57" s="44"/>
      <c r="C57" s="7" t="s">
        <v>172</v>
      </c>
      <c r="D57" s="18" t="s">
        <v>227</v>
      </c>
      <c r="E57" s="2">
        <f t="shared" si="0"/>
        <v>190397.15</v>
      </c>
      <c r="F57" s="2"/>
      <c r="G57" s="1">
        <v>190397.15</v>
      </c>
    </row>
    <row r="58" spans="1:7" ht="38.25" x14ac:dyDescent="0.2">
      <c r="A58" s="46"/>
      <c r="B58" s="44"/>
      <c r="C58" s="8" t="s">
        <v>224</v>
      </c>
      <c r="D58" s="18" t="s">
        <v>227</v>
      </c>
      <c r="E58" s="2">
        <f t="shared" si="0"/>
        <v>4600</v>
      </c>
      <c r="F58" s="2">
        <v>0</v>
      </c>
      <c r="G58" s="1">
        <v>4600</v>
      </c>
    </row>
    <row r="59" spans="1:7" ht="38.25" x14ac:dyDescent="0.2">
      <c r="A59" s="46"/>
      <c r="B59" s="26" t="s">
        <v>199</v>
      </c>
      <c r="C59" s="7" t="s">
        <v>245</v>
      </c>
      <c r="D59" s="18" t="s">
        <v>227</v>
      </c>
      <c r="E59" s="2">
        <f t="shared" si="0"/>
        <v>247905.8</v>
      </c>
      <c r="F59" s="2">
        <v>0</v>
      </c>
      <c r="G59" s="1">
        <v>247905.8</v>
      </c>
    </row>
    <row r="60" spans="1:7" ht="38.25" x14ac:dyDescent="0.2">
      <c r="A60" s="46"/>
      <c r="B60" s="44" t="s">
        <v>45</v>
      </c>
      <c r="C60" s="8" t="s">
        <v>10</v>
      </c>
      <c r="D60" s="18" t="s">
        <v>227</v>
      </c>
      <c r="E60" s="2">
        <f t="shared" si="0"/>
        <v>175788.28</v>
      </c>
      <c r="F60" s="2">
        <v>0</v>
      </c>
      <c r="G60" s="1">
        <f>103870.28+71918</f>
        <v>175788.28</v>
      </c>
    </row>
    <row r="61" spans="1:7" ht="38.25" x14ac:dyDescent="0.2">
      <c r="A61" s="46"/>
      <c r="B61" s="44"/>
      <c r="C61" s="7" t="s">
        <v>132</v>
      </c>
      <c r="D61" s="18" t="s">
        <v>227</v>
      </c>
      <c r="E61" s="2">
        <f t="shared" si="0"/>
        <v>22206.9</v>
      </c>
      <c r="F61" s="2">
        <v>0</v>
      </c>
      <c r="G61" s="1">
        <v>22206.9</v>
      </c>
    </row>
    <row r="62" spans="1:7" ht="38.25" x14ac:dyDescent="0.2">
      <c r="A62" s="46"/>
      <c r="B62" s="44"/>
      <c r="C62" s="7" t="s">
        <v>133</v>
      </c>
      <c r="D62" s="18" t="s">
        <v>227</v>
      </c>
      <c r="E62" s="2">
        <f t="shared" si="0"/>
        <v>23521.919999999998</v>
      </c>
      <c r="F62" s="2">
        <v>0</v>
      </c>
      <c r="G62" s="1">
        <v>23521.919999999998</v>
      </c>
    </row>
    <row r="63" spans="1:7" ht="38.25" x14ac:dyDescent="0.2">
      <c r="A63" s="46"/>
      <c r="B63" s="44"/>
      <c r="C63" s="7" t="s">
        <v>173</v>
      </c>
      <c r="D63" s="18" t="s">
        <v>227</v>
      </c>
      <c r="E63" s="2">
        <f t="shared" si="0"/>
        <v>143308.79999999999</v>
      </c>
      <c r="F63" s="2"/>
      <c r="G63" s="1">
        <f>46158.1+97150.7</f>
        <v>143308.79999999999</v>
      </c>
    </row>
    <row r="64" spans="1:7" ht="51" x14ac:dyDescent="0.2">
      <c r="A64" s="46"/>
      <c r="B64" s="44" t="s">
        <v>26</v>
      </c>
      <c r="C64" s="5" t="s">
        <v>154</v>
      </c>
      <c r="D64" s="18" t="s">
        <v>227</v>
      </c>
      <c r="E64" s="2">
        <f t="shared" si="0"/>
        <v>1746888.55</v>
      </c>
      <c r="F64" s="2">
        <v>0</v>
      </c>
      <c r="G64" s="2">
        <f>1796168.8-49280.25</f>
        <v>1746888.55</v>
      </c>
    </row>
    <row r="65" spans="1:7" ht="42" customHeight="1" x14ac:dyDescent="0.2">
      <c r="A65" s="46"/>
      <c r="B65" s="44"/>
      <c r="C65" s="5" t="s">
        <v>246</v>
      </c>
      <c r="D65" s="18" t="s">
        <v>227</v>
      </c>
      <c r="E65" s="2">
        <f t="shared" si="0"/>
        <v>1173826.8</v>
      </c>
      <c r="F65" s="2">
        <v>0</v>
      </c>
      <c r="G65" s="2">
        <f>1173827-0.2</f>
        <v>1173826.8</v>
      </c>
    </row>
    <row r="66" spans="1:7" ht="38.25" x14ac:dyDescent="0.2">
      <c r="A66" s="46"/>
      <c r="B66" s="44"/>
      <c r="C66" s="7" t="s">
        <v>200</v>
      </c>
      <c r="D66" s="18" t="s">
        <v>227</v>
      </c>
      <c r="E66" s="2">
        <f t="shared" si="0"/>
        <v>118968</v>
      </c>
      <c r="F66" s="2">
        <v>0</v>
      </c>
      <c r="G66" s="2">
        <v>118968</v>
      </c>
    </row>
    <row r="67" spans="1:7" ht="38.25" x14ac:dyDescent="0.2">
      <c r="A67" s="46"/>
      <c r="B67" s="44"/>
      <c r="C67" s="7" t="s">
        <v>201</v>
      </c>
      <c r="D67" s="18" t="s">
        <v>227</v>
      </c>
      <c r="E67" s="2">
        <f t="shared" si="0"/>
        <v>400534.19999999995</v>
      </c>
      <c r="F67" s="2">
        <v>0</v>
      </c>
      <c r="G67" s="2">
        <f>231715.33+36+168782.87</f>
        <v>400534.19999999995</v>
      </c>
    </row>
    <row r="68" spans="1:7" ht="38.25" x14ac:dyDescent="0.2">
      <c r="A68" s="46"/>
      <c r="B68" s="44"/>
      <c r="C68" s="7" t="s">
        <v>202</v>
      </c>
      <c r="D68" s="18" t="s">
        <v>227</v>
      </c>
      <c r="E68" s="2">
        <f t="shared" si="0"/>
        <v>160727.04999999999</v>
      </c>
      <c r="F68" s="2">
        <v>0</v>
      </c>
      <c r="G68" s="2">
        <v>160727.04999999999</v>
      </c>
    </row>
    <row r="69" spans="1:7" ht="38.25" x14ac:dyDescent="0.2">
      <c r="A69" s="46"/>
      <c r="B69" s="44"/>
      <c r="C69" s="48" t="s">
        <v>277</v>
      </c>
      <c r="D69" s="18" t="s">
        <v>227</v>
      </c>
      <c r="E69" s="2">
        <f t="shared" si="0"/>
        <v>822170.52999999991</v>
      </c>
      <c r="F69" s="2">
        <v>0</v>
      </c>
      <c r="G69" s="2">
        <f>845822.2-273883.13-23651.67+273883.13</f>
        <v>822170.52999999991</v>
      </c>
    </row>
    <row r="70" spans="1:7" ht="102.75" customHeight="1" x14ac:dyDescent="0.2">
      <c r="A70" s="46"/>
      <c r="B70" s="44"/>
      <c r="C70" s="48"/>
      <c r="D70" s="18" t="s">
        <v>228</v>
      </c>
      <c r="E70" s="2">
        <f t="shared" si="0"/>
        <v>1984500</v>
      </c>
      <c r="F70" s="2">
        <v>1484500</v>
      </c>
      <c r="G70" s="1">
        <f>500000+273883.13-273883.13</f>
        <v>500000</v>
      </c>
    </row>
    <row r="71" spans="1:7" ht="38.25" x14ac:dyDescent="0.2">
      <c r="A71" s="46"/>
      <c r="B71" s="44" t="s">
        <v>46</v>
      </c>
      <c r="C71" s="8" t="s">
        <v>10</v>
      </c>
      <c r="D71" s="18" t="s">
        <v>227</v>
      </c>
      <c r="E71" s="2">
        <f t="shared" si="0"/>
        <v>99000</v>
      </c>
      <c r="F71" s="2">
        <v>0</v>
      </c>
      <c r="G71" s="1">
        <v>99000</v>
      </c>
    </row>
    <row r="72" spans="1:7" ht="38.25" x14ac:dyDescent="0.2">
      <c r="A72" s="46"/>
      <c r="B72" s="44"/>
      <c r="C72" s="7" t="s">
        <v>134</v>
      </c>
      <c r="D72" s="18" t="s">
        <v>227</v>
      </c>
      <c r="E72" s="2">
        <f t="shared" si="0"/>
        <v>90000</v>
      </c>
      <c r="F72" s="2">
        <v>0</v>
      </c>
      <c r="G72" s="1">
        <f>103000-13000</f>
        <v>90000</v>
      </c>
    </row>
    <row r="73" spans="1:7" ht="38.25" x14ac:dyDescent="0.2">
      <c r="A73" s="46"/>
      <c r="B73" s="26" t="s">
        <v>47</v>
      </c>
      <c r="C73" s="8" t="s">
        <v>48</v>
      </c>
      <c r="D73" s="18" t="s">
        <v>227</v>
      </c>
      <c r="E73" s="2">
        <f t="shared" si="0"/>
        <v>80000</v>
      </c>
      <c r="F73" s="2">
        <v>0</v>
      </c>
      <c r="G73" s="1">
        <v>80000</v>
      </c>
    </row>
    <row r="74" spans="1:7" ht="38.25" x14ac:dyDescent="0.2">
      <c r="A74" s="46"/>
      <c r="B74" s="44" t="s">
        <v>49</v>
      </c>
      <c r="C74" s="8" t="s">
        <v>37</v>
      </c>
      <c r="D74" s="18" t="s">
        <v>227</v>
      </c>
      <c r="E74" s="2">
        <f t="shared" si="0"/>
        <v>119634</v>
      </c>
      <c r="F74" s="2">
        <v>0</v>
      </c>
      <c r="G74" s="1">
        <v>119634</v>
      </c>
    </row>
    <row r="75" spans="1:7" ht="38.25" x14ac:dyDescent="0.2">
      <c r="A75" s="46"/>
      <c r="B75" s="44"/>
      <c r="C75" s="8" t="s">
        <v>174</v>
      </c>
      <c r="D75" s="18" t="s">
        <v>227</v>
      </c>
      <c r="E75" s="2">
        <f t="shared" si="0"/>
        <v>177927.66999999998</v>
      </c>
      <c r="F75" s="2"/>
      <c r="G75" s="1">
        <f>109215+68712.67</f>
        <v>177927.66999999998</v>
      </c>
    </row>
    <row r="76" spans="1:7" ht="38.25" x14ac:dyDescent="0.2">
      <c r="A76" s="46"/>
      <c r="B76" s="44"/>
      <c r="C76" s="8" t="s">
        <v>203</v>
      </c>
      <c r="D76" s="18" t="s">
        <v>227</v>
      </c>
      <c r="E76" s="2">
        <f t="shared" si="0"/>
        <v>73322</v>
      </c>
      <c r="F76" s="2">
        <v>0</v>
      </c>
      <c r="G76" s="1">
        <v>73322</v>
      </c>
    </row>
    <row r="77" spans="1:7" ht="76.5" x14ac:dyDescent="0.2">
      <c r="A77" s="46"/>
      <c r="B77" s="44"/>
      <c r="C77" s="20" t="s">
        <v>288</v>
      </c>
      <c r="D77" s="18" t="s">
        <v>31</v>
      </c>
      <c r="E77" s="2">
        <f t="shared" si="0"/>
        <v>121512</v>
      </c>
      <c r="F77" s="2">
        <v>0</v>
      </c>
      <c r="G77" s="1">
        <f>110000+11512</f>
        <v>121512</v>
      </c>
    </row>
    <row r="78" spans="1:7" ht="67.5" customHeight="1" x14ac:dyDescent="0.2">
      <c r="A78" s="46"/>
      <c r="B78" s="44"/>
      <c r="C78" s="20" t="s">
        <v>278</v>
      </c>
      <c r="D78" s="18" t="s">
        <v>227</v>
      </c>
      <c r="E78" s="2">
        <f t="shared" si="0"/>
        <v>94794</v>
      </c>
      <c r="F78" s="2">
        <v>0</v>
      </c>
      <c r="G78" s="1">
        <f>110000-11512-3694</f>
        <v>94794</v>
      </c>
    </row>
    <row r="79" spans="1:7" ht="38.25" x14ac:dyDescent="0.2">
      <c r="A79" s="46"/>
      <c r="B79" s="44" t="s">
        <v>50</v>
      </c>
      <c r="C79" s="8" t="s">
        <v>10</v>
      </c>
      <c r="D79" s="18" t="s">
        <v>227</v>
      </c>
      <c r="E79" s="2">
        <f t="shared" si="0"/>
        <v>96100</v>
      </c>
      <c r="F79" s="2">
        <v>0</v>
      </c>
      <c r="G79" s="1">
        <v>96100</v>
      </c>
    </row>
    <row r="80" spans="1:7" ht="38.25" x14ac:dyDescent="0.2">
      <c r="A80" s="46"/>
      <c r="B80" s="44"/>
      <c r="C80" s="7" t="s">
        <v>175</v>
      </c>
      <c r="D80" s="18" t="s">
        <v>227</v>
      </c>
      <c r="E80" s="2">
        <f t="shared" si="0"/>
        <v>91566</v>
      </c>
      <c r="F80" s="2"/>
      <c r="G80" s="1">
        <v>91566</v>
      </c>
    </row>
    <row r="81" spans="1:7" ht="42" customHeight="1" x14ac:dyDescent="0.2">
      <c r="A81" s="46"/>
      <c r="B81" s="26" t="s">
        <v>176</v>
      </c>
      <c r="C81" s="7" t="s">
        <v>177</v>
      </c>
      <c r="D81" s="18" t="s">
        <v>227</v>
      </c>
      <c r="E81" s="2">
        <f t="shared" ref="E81:E103" si="1">F81+G81</f>
        <v>457903</v>
      </c>
      <c r="F81" s="2"/>
      <c r="G81" s="1">
        <v>457903</v>
      </c>
    </row>
    <row r="82" spans="1:7" ht="38.25" x14ac:dyDescent="0.2">
      <c r="A82" s="46"/>
      <c r="B82" s="26" t="s">
        <v>204</v>
      </c>
      <c r="C82" s="7" t="s">
        <v>135</v>
      </c>
      <c r="D82" s="18" t="s">
        <v>227</v>
      </c>
      <c r="E82" s="2">
        <f t="shared" si="1"/>
        <v>152130</v>
      </c>
      <c r="F82" s="2">
        <v>0</v>
      </c>
      <c r="G82" s="1">
        <v>152130</v>
      </c>
    </row>
    <row r="83" spans="1:7" ht="38.25" x14ac:dyDescent="0.2">
      <c r="A83" s="46"/>
      <c r="B83" s="26" t="s">
        <v>178</v>
      </c>
      <c r="C83" s="8" t="s">
        <v>179</v>
      </c>
      <c r="D83" s="18" t="s">
        <v>227</v>
      </c>
      <c r="E83" s="2">
        <f t="shared" si="1"/>
        <v>111124.87</v>
      </c>
      <c r="F83" s="2"/>
      <c r="G83" s="1">
        <v>111124.87</v>
      </c>
    </row>
    <row r="84" spans="1:7" ht="38.25" x14ac:dyDescent="0.2">
      <c r="A84" s="46"/>
      <c r="B84" s="26" t="s">
        <v>51</v>
      </c>
      <c r="C84" s="8" t="s">
        <v>10</v>
      </c>
      <c r="D84" s="18" t="s">
        <v>227</v>
      </c>
      <c r="E84" s="2">
        <f t="shared" si="1"/>
        <v>133055</v>
      </c>
      <c r="F84" s="2">
        <v>0</v>
      </c>
      <c r="G84" s="1">
        <v>133055</v>
      </c>
    </row>
    <row r="85" spans="1:7" ht="38.25" x14ac:dyDescent="0.2">
      <c r="A85" s="46"/>
      <c r="B85" s="26" t="s">
        <v>52</v>
      </c>
      <c r="C85" s="8" t="s">
        <v>10</v>
      </c>
      <c r="D85" s="18" t="s">
        <v>227</v>
      </c>
      <c r="E85" s="2">
        <f t="shared" si="1"/>
        <v>113651.46</v>
      </c>
      <c r="F85" s="2">
        <v>0</v>
      </c>
      <c r="G85" s="1">
        <v>113651.46</v>
      </c>
    </row>
    <row r="86" spans="1:7" ht="38.25" x14ac:dyDescent="0.2">
      <c r="A86" s="46"/>
      <c r="B86" s="45" t="s">
        <v>53</v>
      </c>
      <c r="C86" s="8" t="s">
        <v>54</v>
      </c>
      <c r="D86" s="18" t="s">
        <v>227</v>
      </c>
      <c r="E86" s="2">
        <f t="shared" si="1"/>
        <v>99300</v>
      </c>
      <c r="F86" s="2">
        <v>0</v>
      </c>
      <c r="G86" s="1">
        <f>66000+33300</f>
        <v>99300</v>
      </c>
    </row>
    <row r="87" spans="1:7" ht="38.25" x14ac:dyDescent="0.2">
      <c r="A87" s="46"/>
      <c r="B87" s="45"/>
      <c r="C87" s="7" t="s">
        <v>225</v>
      </c>
      <c r="D87" s="18" t="s">
        <v>227</v>
      </c>
      <c r="E87" s="2">
        <f t="shared" si="1"/>
        <v>35000</v>
      </c>
      <c r="F87" s="2">
        <v>0</v>
      </c>
      <c r="G87" s="1">
        <v>35000</v>
      </c>
    </row>
    <row r="88" spans="1:7" ht="38.25" x14ac:dyDescent="0.2">
      <c r="A88" s="46"/>
      <c r="B88" s="44" t="s">
        <v>122</v>
      </c>
      <c r="C88" s="8" t="s">
        <v>10</v>
      </c>
      <c r="D88" s="18" t="s">
        <v>227</v>
      </c>
      <c r="E88" s="2">
        <f t="shared" si="1"/>
        <v>286900</v>
      </c>
      <c r="F88" s="2">
        <v>0</v>
      </c>
      <c r="G88" s="1">
        <v>286900</v>
      </c>
    </row>
    <row r="89" spans="1:7" ht="38.25" x14ac:dyDescent="0.2">
      <c r="A89" s="46"/>
      <c r="B89" s="44"/>
      <c r="C89" s="8" t="s">
        <v>135</v>
      </c>
      <c r="D89" s="18" t="s">
        <v>227</v>
      </c>
      <c r="E89" s="2">
        <f t="shared" si="1"/>
        <v>3805112.4</v>
      </c>
      <c r="F89" s="2">
        <v>0</v>
      </c>
      <c r="G89" s="1">
        <f>2255110+109089.25+1383736.6+57176.55</f>
        <v>3805112.4</v>
      </c>
    </row>
    <row r="90" spans="1:7" ht="38.25" x14ac:dyDescent="0.2">
      <c r="A90" s="46"/>
      <c r="B90" s="44"/>
      <c r="C90" s="8" t="s">
        <v>10</v>
      </c>
      <c r="D90" s="18" t="s">
        <v>227</v>
      </c>
      <c r="E90" s="2">
        <f t="shared" si="1"/>
        <v>429136</v>
      </c>
      <c r="F90" s="2"/>
      <c r="G90" s="1">
        <v>429136</v>
      </c>
    </row>
    <row r="91" spans="1:7" ht="38.25" x14ac:dyDescent="0.2">
      <c r="A91" s="46"/>
      <c r="B91" s="44"/>
      <c r="C91" s="7" t="s">
        <v>182</v>
      </c>
      <c r="D91" s="18" t="s">
        <v>227</v>
      </c>
      <c r="E91" s="2">
        <f t="shared" si="1"/>
        <v>443969.65</v>
      </c>
      <c r="F91" s="2"/>
      <c r="G91" s="1">
        <f>501146.2-57176.55</f>
        <v>443969.65</v>
      </c>
    </row>
    <row r="92" spans="1:7" ht="38.25" x14ac:dyDescent="0.2">
      <c r="A92" s="46"/>
      <c r="B92" s="26" t="s">
        <v>55</v>
      </c>
      <c r="C92" s="8" t="s">
        <v>10</v>
      </c>
      <c r="D92" s="18" t="s">
        <v>227</v>
      </c>
      <c r="E92" s="2">
        <f t="shared" si="1"/>
        <v>190300</v>
      </c>
      <c r="F92" s="2">
        <v>0</v>
      </c>
      <c r="G92" s="1">
        <v>190300</v>
      </c>
    </row>
    <row r="93" spans="1:7" ht="38.25" x14ac:dyDescent="0.2">
      <c r="A93" s="46"/>
      <c r="B93" s="26" t="s">
        <v>56</v>
      </c>
      <c r="C93" s="8" t="s">
        <v>10</v>
      </c>
      <c r="D93" s="18" t="s">
        <v>227</v>
      </c>
      <c r="E93" s="2">
        <f t="shared" si="1"/>
        <v>71825</v>
      </c>
      <c r="F93" s="2">
        <v>0</v>
      </c>
      <c r="G93" s="1">
        <v>71825</v>
      </c>
    </row>
    <row r="94" spans="1:7" ht="38.25" x14ac:dyDescent="0.2">
      <c r="A94" s="46"/>
      <c r="B94" s="26" t="s">
        <v>57</v>
      </c>
      <c r="C94" s="8" t="s">
        <v>10</v>
      </c>
      <c r="D94" s="18" t="s">
        <v>227</v>
      </c>
      <c r="E94" s="2">
        <f t="shared" si="1"/>
        <v>255000</v>
      </c>
      <c r="F94" s="2">
        <v>0</v>
      </c>
      <c r="G94" s="1">
        <f>256050-1050</f>
        <v>255000</v>
      </c>
    </row>
    <row r="95" spans="1:7" ht="38.25" x14ac:dyDescent="0.2">
      <c r="A95" s="46"/>
      <c r="B95" s="44" t="s">
        <v>58</v>
      </c>
      <c r="C95" s="8" t="s">
        <v>10</v>
      </c>
      <c r="D95" s="18" t="s">
        <v>227</v>
      </c>
      <c r="E95" s="2">
        <f t="shared" si="1"/>
        <v>112000</v>
      </c>
      <c r="F95" s="2">
        <v>0</v>
      </c>
      <c r="G95" s="1">
        <v>112000</v>
      </c>
    </row>
    <row r="96" spans="1:7" ht="38.25" x14ac:dyDescent="0.2">
      <c r="A96" s="46"/>
      <c r="B96" s="44"/>
      <c r="C96" s="7" t="s">
        <v>247</v>
      </c>
      <c r="D96" s="18" t="s">
        <v>227</v>
      </c>
      <c r="E96" s="2">
        <f t="shared" si="1"/>
        <v>95000</v>
      </c>
      <c r="F96" s="2">
        <v>0</v>
      </c>
      <c r="G96" s="1">
        <v>95000</v>
      </c>
    </row>
    <row r="97" spans="1:7" ht="38.25" x14ac:dyDescent="0.2">
      <c r="A97" s="46"/>
      <c r="B97" s="26" t="s">
        <v>180</v>
      </c>
      <c r="C97" s="7" t="s">
        <v>181</v>
      </c>
      <c r="D97" s="18" t="s">
        <v>227</v>
      </c>
      <c r="E97" s="2">
        <f t="shared" si="1"/>
        <v>206210</v>
      </c>
      <c r="F97" s="2"/>
      <c r="G97" s="1">
        <v>206210</v>
      </c>
    </row>
    <row r="98" spans="1:7" ht="38.25" x14ac:dyDescent="0.2">
      <c r="A98" s="46"/>
      <c r="B98" s="26" t="s">
        <v>59</v>
      </c>
      <c r="C98" s="8" t="s">
        <v>10</v>
      </c>
      <c r="D98" s="18" t="s">
        <v>227</v>
      </c>
      <c r="E98" s="2">
        <f t="shared" si="1"/>
        <v>79800</v>
      </c>
      <c r="F98" s="2">
        <v>0</v>
      </c>
      <c r="G98" s="1">
        <v>79800</v>
      </c>
    </row>
    <row r="99" spans="1:7" ht="38.25" x14ac:dyDescent="0.2">
      <c r="A99" s="46"/>
      <c r="B99" s="44" t="s">
        <v>136</v>
      </c>
      <c r="C99" s="20" t="s">
        <v>135</v>
      </c>
      <c r="D99" s="18" t="s">
        <v>227</v>
      </c>
      <c r="E99" s="2">
        <f t="shared" si="1"/>
        <v>412800</v>
      </c>
      <c r="F99" s="2">
        <v>0</v>
      </c>
      <c r="G99" s="1">
        <f>338570+74230</f>
        <v>412800</v>
      </c>
    </row>
    <row r="100" spans="1:7" ht="38.25" x14ac:dyDescent="0.2">
      <c r="A100" s="46"/>
      <c r="B100" s="44"/>
      <c r="C100" s="7" t="s">
        <v>137</v>
      </c>
      <c r="D100" s="18" t="s">
        <v>227</v>
      </c>
      <c r="E100" s="2">
        <f t="shared" si="1"/>
        <v>1386512.4</v>
      </c>
      <c r="F100" s="2">
        <v>0</v>
      </c>
      <c r="G100" s="1">
        <f>1841570-169406.76-285650.84</f>
        <v>1386512.4</v>
      </c>
    </row>
    <row r="101" spans="1:7" ht="38.25" customHeight="1" x14ac:dyDescent="0.2">
      <c r="A101" s="46"/>
      <c r="B101" s="44" t="s">
        <v>114</v>
      </c>
      <c r="C101" s="8" t="s">
        <v>37</v>
      </c>
      <c r="D101" s="18" t="s">
        <v>227</v>
      </c>
      <c r="E101" s="2">
        <f t="shared" si="1"/>
        <v>80000</v>
      </c>
      <c r="F101" s="2">
        <v>0</v>
      </c>
      <c r="G101" s="1">
        <v>80000</v>
      </c>
    </row>
    <row r="102" spans="1:7" ht="38.25" x14ac:dyDescent="0.2">
      <c r="A102" s="46"/>
      <c r="B102" s="44"/>
      <c r="C102" s="8" t="s">
        <v>60</v>
      </c>
      <c r="D102" s="18" t="s">
        <v>227</v>
      </c>
      <c r="E102" s="2">
        <f t="shared" si="1"/>
        <v>54590</v>
      </c>
      <c r="F102" s="2">
        <v>0</v>
      </c>
      <c r="G102" s="1">
        <v>54590</v>
      </c>
    </row>
    <row r="103" spans="1:7" ht="38.25" x14ac:dyDescent="0.2">
      <c r="A103" s="46"/>
      <c r="B103" s="44"/>
      <c r="C103" s="7" t="s">
        <v>205</v>
      </c>
      <c r="D103" s="18" t="s">
        <v>227</v>
      </c>
      <c r="E103" s="2">
        <f t="shared" si="1"/>
        <v>8715</v>
      </c>
      <c r="F103" s="2">
        <v>0</v>
      </c>
      <c r="G103" s="1">
        <v>8715</v>
      </c>
    </row>
    <row r="104" spans="1:7" x14ac:dyDescent="0.2">
      <c r="A104" s="46"/>
      <c r="B104" s="49" t="s">
        <v>8</v>
      </c>
      <c r="C104" s="49"/>
      <c r="D104" s="21"/>
      <c r="E104" s="1">
        <f>SUM(E13:E103)</f>
        <v>24074031.029999997</v>
      </c>
      <c r="F104" s="1">
        <f>SUM(F13:F103)</f>
        <v>1484500</v>
      </c>
      <c r="G104" s="1">
        <f>SUM(G13:G103)</f>
        <v>22589531.029999997</v>
      </c>
    </row>
    <row r="105" spans="1:7" x14ac:dyDescent="0.2">
      <c r="A105" s="46"/>
      <c r="B105" s="47" t="s">
        <v>119</v>
      </c>
      <c r="C105" s="47"/>
      <c r="D105" s="47"/>
      <c r="E105" s="1">
        <f>F105+G105</f>
        <v>342855.92</v>
      </c>
      <c r="F105" s="1"/>
      <c r="G105" s="1">
        <f>G16+G18+G74+G101+G62</f>
        <v>342855.92</v>
      </c>
    </row>
    <row r="106" spans="1:7" ht="54" customHeight="1" x14ac:dyDescent="0.2">
      <c r="A106" s="46" t="s">
        <v>235</v>
      </c>
      <c r="B106" s="44" t="s">
        <v>62</v>
      </c>
      <c r="C106" s="8" t="s">
        <v>153</v>
      </c>
      <c r="D106" s="18" t="s">
        <v>227</v>
      </c>
      <c r="E106" s="1">
        <f>F106+G106</f>
        <v>56017.2</v>
      </c>
      <c r="F106" s="1">
        <v>0</v>
      </c>
      <c r="G106" s="1">
        <v>56017.2</v>
      </c>
    </row>
    <row r="107" spans="1:7" ht="38.25" x14ac:dyDescent="0.2">
      <c r="A107" s="46"/>
      <c r="B107" s="44"/>
      <c r="C107" s="8" t="s">
        <v>63</v>
      </c>
      <c r="D107" s="18" t="s">
        <v>227</v>
      </c>
      <c r="E107" s="1">
        <f t="shared" ref="E107:E171" si="2">F107+G107</f>
        <v>339190.80000000005</v>
      </c>
      <c r="F107" s="1">
        <v>0</v>
      </c>
      <c r="G107" s="1">
        <f>169595.4+169600-4.6</f>
        <v>339190.80000000005</v>
      </c>
    </row>
    <row r="108" spans="1:7" ht="38.25" x14ac:dyDescent="0.2">
      <c r="A108" s="46"/>
      <c r="B108" s="44"/>
      <c r="C108" s="8" t="s">
        <v>64</v>
      </c>
      <c r="D108" s="18" t="s">
        <v>227</v>
      </c>
      <c r="E108" s="1">
        <f t="shared" si="2"/>
        <v>99969</v>
      </c>
      <c r="F108" s="1">
        <v>0</v>
      </c>
      <c r="G108" s="1">
        <v>99969</v>
      </c>
    </row>
    <row r="109" spans="1:7" ht="38.25" x14ac:dyDescent="0.2">
      <c r="A109" s="46"/>
      <c r="B109" s="44"/>
      <c r="C109" s="8" t="s">
        <v>90</v>
      </c>
      <c r="D109" s="18" t="s">
        <v>227</v>
      </c>
      <c r="E109" s="1">
        <f t="shared" si="2"/>
        <v>100000</v>
      </c>
      <c r="F109" s="1">
        <v>0</v>
      </c>
      <c r="G109" s="1">
        <v>100000</v>
      </c>
    </row>
    <row r="110" spans="1:7" ht="38.25" x14ac:dyDescent="0.2">
      <c r="A110" s="46"/>
      <c r="B110" s="44"/>
      <c r="C110" s="8" t="s">
        <v>183</v>
      </c>
      <c r="D110" s="18" t="s">
        <v>227</v>
      </c>
      <c r="E110" s="1">
        <f t="shared" si="2"/>
        <v>465043.20000000001</v>
      </c>
      <c r="F110" s="1"/>
      <c r="G110" s="1">
        <v>465043.20000000001</v>
      </c>
    </row>
    <row r="111" spans="1:7" ht="38.25" x14ac:dyDescent="0.2">
      <c r="A111" s="46"/>
      <c r="B111" s="44" t="s">
        <v>91</v>
      </c>
      <c r="C111" s="8" t="s">
        <v>90</v>
      </c>
      <c r="D111" s="18" t="s">
        <v>227</v>
      </c>
      <c r="E111" s="1">
        <f t="shared" si="2"/>
        <v>99900</v>
      </c>
      <c r="F111" s="1">
        <v>0</v>
      </c>
      <c r="G111" s="1">
        <f>100000-100</f>
        <v>99900</v>
      </c>
    </row>
    <row r="112" spans="1:7" ht="38.25" x14ac:dyDescent="0.2">
      <c r="A112" s="46"/>
      <c r="B112" s="44"/>
      <c r="C112" s="8" t="s">
        <v>35</v>
      </c>
      <c r="D112" s="18" t="s">
        <v>227</v>
      </c>
      <c r="E112" s="1">
        <f t="shared" si="2"/>
        <v>301061.18000000005</v>
      </c>
      <c r="F112" s="1">
        <v>0</v>
      </c>
      <c r="G112" s="1">
        <f>301676.78-615.6</f>
        <v>301061.18000000005</v>
      </c>
    </row>
    <row r="113" spans="1:7" ht="38.25" x14ac:dyDescent="0.2">
      <c r="A113" s="46"/>
      <c r="B113" s="44"/>
      <c r="C113" s="8" t="s">
        <v>10</v>
      </c>
      <c r="D113" s="18" t="s">
        <v>227</v>
      </c>
      <c r="E113" s="1">
        <f t="shared" si="2"/>
        <v>1060896.99</v>
      </c>
      <c r="F113" s="1">
        <v>0</v>
      </c>
      <c r="G113" s="1">
        <f>632866.84+303030.15+125000</f>
        <v>1060896.99</v>
      </c>
    </row>
    <row r="114" spans="1:7" ht="38.25" x14ac:dyDescent="0.2">
      <c r="A114" s="46"/>
      <c r="B114" s="44" t="s">
        <v>65</v>
      </c>
      <c r="C114" s="8" t="s">
        <v>66</v>
      </c>
      <c r="D114" s="18" t="s">
        <v>227</v>
      </c>
      <c r="E114" s="1">
        <f t="shared" si="2"/>
        <v>147952</v>
      </c>
      <c r="F114" s="1">
        <v>0</v>
      </c>
      <c r="G114" s="1">
        <v>147952</v>
      </c>
    </row>
    <row r="115" spans="1:7" ht="38.25" x14ac:dyDescent="0.2">
      <c r="A115" s="46"/>
      <c r="B115" s="44"/>
      <c r="C115" s="8" t="s">
        <v>10</v>
      </c>
      <c r="D115" s="18" t="s">
        <v>227</v>
      </c>
      <c r="E115" s="1">
        <f t="shared" si="2"/>
        <v>692000</v>
      </c>
      <c r="F115" s="1">
        <v>0</v>
      </c>
      <c r="G115" s="1">
        <f>795150-103150</f>
        <v>692000</v>
      </c>
    </row>
    <row r="116" spans="1:7" ht="38.25" x14ac:dyDescent="0.2">
      <c r="A116" s="46"/>
      <c r="B116" s="44"/>
      <c r="C116" s="8" t="s">
        <v>206</v>
      </c>
      <c r="D116" s="18" t="s">
        <v>227</v>
      </c>
      <c r="E116" s="1">
        <f t="shared" si="2"/>
        <v>28800</v>
      </c>
      <c r="F116" s="1">
        <v>0</v>
      </c>
      <c r="G116" s="1">
        <v>28800</v>
      </c>
    </row>
    <row r="117" spans="1:7" ht="38.25" customHeight="1" x14ac:dyDescent="0.2">
      <c r="A117" s="46"/>
      <c r="B117" s="45" t="s">
        <v>67</v>
      </c>
      <c r="C117" s="8" t="s">
        <v>10</v>
      </c>
      <c r="D117" s="18" t="s">
        <v>227</v>
      </c>
      <c r="E117" s="1">
        <f t="shared" si="2"/>
        <v>673200</v>
      </c>
      <c r="F117" s="1">
        <v>0</v>
      </c>
      <c r="G117" s="1">
        <f>182000+390000+101200</f>
        <v>673200</v>
      </c>
    </row>
    <row r="118" spans="1:7" ht="38.25" x14ac:dyDescent="0.2">
      <c r="A118" s="46"/>
      <c r="B118" s="45"/>
      <c r="C118" s="8" t="s">
        <v>90</v>
      </c>
      <c r="D118" s="18" t="s">
        <v>227</v>
      </c>
      <c r="E118" s="1">
        <f t="shared" si="2"/>
        <v>100000</v>
      </c>
      <c r="F118" s="1">
        <v>0</v>
      </c>
      <c r="G118" s="1">
        <v>100000</v>
      </c>
    </row>
    <row r="119" spans="1:7" ht="38.25" x14ac:dyDescent="0.2">
      <c r="A119" s="46"/>
      <c r="B119" s="45"/>
      <c r="C119" s="8" t="s">
        <v>137</v>
      </c>
      <c r="D119" s="18" t="s">
        <v>227</v>
      </c>
      <c r="E119" s="1">
        <f t="shared" si="2"/>
        <v>1500000</v>
      </c>
      <c r="F119" s="1">
        <v>0</v>
      </c>
      <c r="G119" s="1">
        <v>1500000</v>
      </c>
    </row>
    <row r="120" spans="1:7" ht="38.25" x14ac:dyDescent="0.2">
      <c r="A120" s="46"/>
      <c r="B120" s="45"/>
      <c r="C120" s="7" t="s">
        <v>207</v>
      </c>
      <c r="D120" s="18" t="s">
        <v>227</v>
      </c>
      <c r="E120" s="1">
        <f t="shared" si="2"/>
        <v>79800</v>
      </c>
      <c r="F120" s="1">
        <v>0</v>
      </c>
      <c r="G120" s="1">
        <v>79800</v>
      </c>
    </row>
    <row r="121" spans="1:7" ht="63.75" x14ac:dyDescent="0.2">
      <c r="A121" s="46"/>
      <c r="B121" s="44" t="s">
        <v>20</v>
      </c>
      <c r="C121" s="20" t="s">
        <v>248</v>
      </c>
      <c r="D121" s="18" t="s">
        <v>227</v>
      </c>
      <c r="E121" s="1">
        <f t="shared" si="2"/>
        <v>6124210</v>
      </c>
      <c r="F121" s="2">
        <v>0</v>
      </c>
      <c r="G121" s="1">
        <f>4094170+1020174-5114344+6124210</f>
        <v>6124210</v>
      </c>
    </row>
    <row r="122" spans="1:7" ht="63.75" x14ac:dyDescent="0.2">
      <c r="A122" s="46"/>
      <c r="B122" s="44"/>
      <c r="C122" s="20" t="s">
        <v>249</v>
      </c>
      <c r="D122" s="18" t="s">
        <v>227</v>
      </c>
      <c r="E122" s="1">
        <f t="shared" si="2"/>
        <v>5645593.4900000002</v>
      </c>
      <c r="F122" s="2">
        <v>0</v>
      </c>
      <c r="G122" s="1">
        <f>6644258.2-1186659.25+727994.72-0.18-540000</f>
        <v>5645593.4900000002</v>
      </c>
    </row>
    <row r="123" spans="1:7" ht="63" customHeight="1" x14ac:dyDescent="0.2">
      <c r="A123" s="46"/>
      <c r="B123" s="44"/>
      <c r="C123" s="7" t="s">
        <v>250</v>
      </c>
      <c r="D123" s="18" t="s">
        <v>227</v>
      </c>
      <c r="E123" s="1">
        <f t="shared" si="2"/>
        <v>540000</v>
      </c>
      <c r="F123" s="2"/>
      <c r="G123" s="1">
        <v>540000</v>
      </c>
    </row>
    <row r="124" spans="1:7" ht="51" x14ac:dyDescent="0.2">
      <c r="A124" s="46"/>
      <c r="B124" s="44"/>
      <c r="C124" s="20" t="s">
        <v>251</v>
      </c>
      <c r="D124" s="18" t="s">
        <v>227</v>
      </c>
      <c r="E124" s="1">
        <f t="shared" si="2"/>
        <v>760736.4</v>
      </c>
      <c r="F124" s="2">
        <v>0</v>
      </c>
      <c r="G124" s="1">
        <v>760736.4</v>
      </c>
    </row>
    <row r="125" spans="1:7" ht="63.75" x14ac:dyDescent="0.2">
      <c r="A125" s="46"/>
      <c r="B125" s="44"/>
      <c r="C125" s="20" t="s">
        <v>252</v>
      </c>
      <c r="D125" s="18" t="s">
        <v>227</v>
      </c>
      <c r="E125" s="1">
        <f t="shared" si="2"/>
        <v>420000</v>
      </c>
      <c r="F125" s="2">
        <v>0</v>
      </c>
      <c r="G125" s="1">
        <f>461394-41394</f>
        <v>420000</v>
      </c>
    </row>
    <row r="126" spans="1:7" ht="54" customHeight="1" x14ac:dyDescent="0.2">
      <c r="A126" s="46"/>
      <c r="B126" s="44"/>
      <c r="C126" s="8" t="s">
        <v>279</v>
      </c>
      <c r="D126" s="18" t="s">
        <v>227</v>
      </c>
      <c r="E126" s="1">
        <f t="shared" si="2"/>
        <v>847999.99999999988</v>
      </c>
      <c r="F126" s="2">
        <v>0</v>
      </c>
      <c r="G126" s="1">
        <f>1105712.4-257712.4</f>
        <v>847999.99999999988</v>
      </c>
    </row>
    <row r="127" spans="1:7" ht="39.75" customHeight="1" x14ac:dyDescent="0.2">
      <c r="A127" s="46"/>
      <c r="B127" s="44"/>
      <c r="C127" s="8" t="s">
        <v>253</v>
      </c>
      <c r="D127" s="18" t="s">
        <v>227</v>
      </c>
      <c r="E127" s="1">
        <f t="shared" si="2"/>
        <v>3920000</v>
      </c>
      <c r="F127" s="2">
        <v>0</v>
      </c>
      <c r="G127" s="1">
        <f>3943726-23726</f>
        <v>3920000</v>
      </c>
    </row>
    <row r="128" spans="1:7" ht="38.25" x14ac:dyDescent="0.2">
      <c r="A128" s="46"/>
      <c r="B128" s="44"/>
      <c r="C128" s="8" t="s">
        <v>90</v>
      </c>
      <c r="D128" s="18" t="s">
        <v>227</v>
      </c>
      <c r="E128" s="1">
        <f t="shared" si="2"/>
        <v>100000</v>
      </c>
      <c r="F128" s="2">
        <v>0</v>
      </c>
      <c r="G128" s="1">
        <v>100000</v>
      </c>
    </row>
    <row r="129" spans="1:7" ht="38.25" x14ac:dyDescent="0.2">
      <c r="A129" s="46"/>
      <c r="B129" s="44"/>
      <c r="C129" s="8" t="s">
        <v>68</v>
      </c>
      <c r="D129" s="18" t="s">
        <v>227</v>
      </c>
      <c r="E129" s="1">
        <f t="shared" si="2"/>
        <v>35000</v>
      </c>
      <c r="F129" s="2">
        <v>0</v>
      </c>
      <c r="G129" s="1">
        <v>35000</v>
      </c>
    </row>
    <row r="130" spans="1:7" ht="38.25" x14ac:dyDescent="0.2">
      <c r="A130" s="46"/>
      <c r="B130" s="44"/>
      <c r="C130" s="8" t="s">
        <v>254</v>
      </c>
      <c r="D130" s="18" t="s">
        <v>227</v>
      </c>
      <c r="E130" s="1">
        <f t="shared" si="2"/>
        <v>325136.39</v>
      </c>
      <c r="F130" s="2">
        <v>0</v>
      </c>
      <c r="G130" s="1">
        <v>325136.39</v>
      </c>
    </row>
    <row r="131" spans="1:7" ht="38.25" x14ac:dyDescent="0.2">
      <c r="A131" s="46"/>
      <c r="B131" s="44"/>
      <c r="C131" s="8" t="s">
        <v>208</v>
      </c>
      <c r="D131" s="18" t="s">
        <v>227</v>
      </c>
      <c r="E131" s="1">
        <f t="shared" si="2"/>
        <v>109524.11</v>
      </c>
      <c r="F131" s="2">
        <v>0</v>
      </c>
      <c r="G131" s="1">
        <v>109524.11</v>
      </c>
    </row>
    <row r="132" spans="1:7" ht="38.25" x14ac:dyDescent="0.2">
      <c r="A132" s="46"/>
      <c r="B132" s="44"/>
      <c r="C132" s="8" t="s">
        <v>209</v>
      </c>
      <c r="D132" s="18" t="s">
        <v>227</v>
      </c>
      <c r="E132" s="1">
        <f t="shared" si="2"/>
        <v>528432.92000000004</v>
      </c>
      <c r="F132" s="2">
        <v>0</v>
      </c>
      <c r="G132" s="1">
        <v>528432.92000000004</v>
      </c>
    </row>
    <row r="133" spans="1:7" ht="38.25" x14ac:dyDescent="0.2">
      <c r="A133" s="46"/>
      <c r="B133" s="44"/>
      <c r="C133" s="8" t="s">
        <v>255</v>
      </c>
      <c r="D133" s="18" t="s">
        <v>227</v>
      </c>
      <c r="E133" s="1">
        <f t="shared" si="2"/>
        <v>742486</v>
      </c>
      <c r="F133" s="2">
        <v>0</v>
      </c>
      <c r="G133" s="1">
        <v>742486</v>
      </c>
    </row>
    <row r="134" spans="1:7" ht="38.25" x14ac:dyDescent="0.2">
      <c r="A134" s="46"/>
      <c r="B134" s="44"/>
      <c r="C134" s="8" t="s">
        <v>210</v>
      </c>
      <c r="D134" s="18" t="s">
        <v>227</v>
      </c>
      <c r="E134" s="1">
        <f t="shared" si="2"/>
        <v>187441.2</v>
      </c>
      <c r="F134" s="2">
        <v>0</v>
      </c>
      <c r="G134" s="1">
        <f>191183.17-3741.97</f>
        <v>187441.2</v>
      </c>
    </row>
    <row r="135" spans="1:7" ht="63.75" x14ac:dyDescent="0.2">
      <c r="A135" s="46"/>
      <c r="B135" s="44"/>
      <c r="C135" s="20" t="s">
        <v>280</v>
      </c>
      <c r="D135" s="18" t="s">
        <v>118</v>
      </c>
      <c r="E135" s="1">
        <f t="shared" si="2"/>
        <v>22045440</v>
      </c>
      <c r="F135" s="2">
        <v>21465440</v>
      </c>
      <c r="G135" s="1">
        <v>580000</v>
      </c>
    </row>
    <row r="136" spans="1:7" ht="51" x14ac:dyDescent="0.2">
      <c r="A136" s="46"/>
      <c r="B136" s="44" t="s">
        <v>9</v>
      </c>
      <c r="C136" s="20" t="s">
        <v>10</v>
      </c>
      <c r="D136" s="18" t="s">
        <v>33</v>
      </c>
      <c r="E136" s="1">
        <f t="shared" si="2"/>
        <v>1133500</v>
      </c>
      <c r="F136" s="2">
        <v>1023500</v>
      </c>
      <c r="G136" s="1">
        <v>110000</v>
      </c>
    </row>
    <row r="137" spans="1:7" ht="38.25" x14ac:dyDescent="0.2">
      <c r="A137" s="46"/>
      <c r="B137" s="44"/>
      <c r="C137" s="20" t="s">
        <v>10</v>
      </c>
      <c r="D137" s="18" t="s">
        <v>227</v>
      </c>
      <c r="E137" s="1">
        <f t="shared" si="2"/>
        <v>607937.41</v>
      </c>
      <c r="F137" s="2">
        <v>0</v>
      </c>
      <c r="G137" s="1">
        <f>79600+528337.41</f>
        <v>607937.41</v>
      </c>
    </row>
    <row r="138" spans="1:7" ht="38.25" x14ac:dyDescent="0.2">
      <c r="A138" s="46"/>
      <c r="B138" s="44"/>
      <c r="C138" s="8" t="s">
        <v>92</v>
      </c>
      <c r="D138" s="18" t="s">
        <v>227</v>
      </c>
      <c r="E138" s="1">
        <f t="shared" si="2"/>
        <v>200000</v>
      </c>
      <c r="F138" s="2">
        <v>0</v>
      </c>
      <c r="G138" s="1">
        <v>200000</v>
      </c>
    </row>
    <row r="139" spans="1:7" ht="38.25" x14ac:dyDescent="0.2">
      <c r="A139" s="46"/>
      <c r="B139" s="44"/>
      <c r="C139" s="8" t="s">
        <v>69</v>
      </c>
      <c r="D139" s="18" t="s">
        <v>227</v>
      </c>
      <c r="E139" s="1">
        <f t="shared" si="2"/>
        <v>55000</v>
      </c>
      <c r="F139" s="2">
        <v>0</v>
      </c>
      <c r="G139" s="1">
        <v>55000</v>
      </c>
    </row>
    <row r="140" spans="1:7" ht="38.25" x14ac:dyDescent="0.2">
      <c r="A140" s="46"/>
      <c r="B140" s="26" t="s">
        <v>93</v>
      </c>
      <c r="C140" s="8" t="s">
        <v>92</v>
      </c>
      <c r="D140" s="18" t="s">
        <v>227</v>
      </c>
      <c r="E140" s="1">
        <f t="shared" si="2"/>
        <v>178000</v>
      </c>
      <c r="F140" s="2">
        <v>0</v>
      </c>
      <c r="G140" s="1">
        <f>200000-22000</f>
        <v>178000</v>
      </c>
    </row>
    <row r="141" spans="1:7" ht="38.25" customHeight="1" x14ac:dyDescent="0.2">
      <c r="A141" s="46"/>
      <c r="B141" s="44" t="s">
        <v>70</v>
      </c>
      <c r="C141" s="8" t="s">
        <v>10</v>
      </c>
      <c r="D141" s="18" t="s">
        <v>227</v>
      </c>
      <c r="E141" s="1">
        <f t="shared" si="2"/>
        <v>97500</v>
      </c>
      <c r="F141" s="2">
        <v>0</v>
      </c>
      <c r="G141" s="1">
        <v>97500</v>
      </c>
    </row>
    <row r="142" spans="1:7" ht="38.25" x14ac:dyDescent="0.2">
      <c r="A142" s="46"/>
      <c r="B142" s="44"/>
      <c r="C142" s="8" t="s">
        <v>71</v>
      </c>
      <c r="D142" s="18" t="s">
        <v>227</v>
      </c>
      <c r="E142" s="1">
        <f t="shared" si="2"/>
        <v>32500</v>
      </c>
      <c r="F142" s="2">
        <v>0</v>
      </c>
      <c r="G142" s="1">
        <v>32500</v>
      </c>
    </row>
    <row r="143" spans="1:7" ht="38.25" x14ac:dyDescent="0.2">
      <c r="A143" s="46"/>
      <c r="B143" s="44"/>
      <c r="C143" s="7" t="s">
        <v>138</v>
      </c>
      <c r="D143" s="18" t="s">
        <v>227</v>
      </c>
      <c r="E143" s="1">
        <f t="shared" si="2"/>
        <v>1201190.18</v>
      </c>
      <c r="F143" s="2">
        <v>0</v>
      </c>
      <c r="G143" s="1">
        <f>1443300-291079.5+48969.5+0.18</f>
        <v>1201190.18</v>
      </c>
    </row>
    <row r="144" spans="1:7" ht="41.25" customHeight="1" x14ac:dyDescent="0.2">
      <c r="A144" s="46"/>
      <c r="B144" s="44"/>
      <c r="C144" s="7" t="s">
        <v>184</v>
      </c>
      <c r="D144" s="18" t="s">
        <v>227</v>
      </c>
      <c r="E144" s="1">
        <f t="shared" si="2"/>
        <v>26999.82</v>
      </c>
      <c r="F144" s="2"/>
      <c r="G144" s="1">
        <f>27000-0.18</f>
        <v>26999.82</v>
      </c>
    </row>
    <row r="145" spans="1:7" ht="42.75" customHeight="1" x14ac:dyDescent="0.2">
      <c r="A145" s="46"/>
      <c r="B145" s="44" t="s">
        <v>190</v>
      </c>
      <c r="C145" s="20" t="s">
        <v>32</v>
      </c>
      <c r="D145" s="18" t="s">
        <v>227</v>
      </c>
      <c r="E145" s="1">
        <f t="shared" si="2"/>
        <v>2991509.52</v>
      </c>
      <c r="F145" s="2">
        <v>0</v>
      </c>
      <c r="G145" s="1">
        <f>2452350+788000-248840.48</f>
        <v>2991509.52</v>
      </c>
    </row>
    <row r="146" spans="1:7" ht="41.25" customHeight="1" x14ac:dyDescent="0.2">
      <c r="A146" s="46"/>
      <c r="B146" s="44"/>
      <c r="C146" s="8" t="s">
        <v>92</v>
      </c>
      <c r="D146" s="18" t="s">
        <v>227</v>
      </c>
      <c r="E146" s="1">
        <f t="shared" si="2"/>
        <v>200000</v>
      </c>
      <c r="F146" s="2">
        <v>0</v>
      </c>
      <c r="G146" s="1">
        <v>200000</v>
      </c>
    </row>
    <row r="147" spans="1:7" ht="42" customHeight="1" x14ac:dyDescent="0.2">
      <c r="A147" s="46"/>
      <c r="B147" s="44"/>
      <c r="C147" s="20" t="s">
        <v>161</v>
      </c>
      <c r="D147" s="18" t="s">
        <v>227</v>
      </c>
      <c r="E147" s="1">
        <f t="shared" si="2"/>
        <v>165200</v>
      </c>
      <c r="F147" s="2">
        <v>0</v>
      </c>
      <c r="G147" s="1">
        <v>165200</v>
      </c>
    </row>
    <row r="148" spans="1:7" ht="41.25" customHeight="1" x14ac:dyDescent="0.2">
      <c r="A148" s="46"/>
      <c r="B148" s="44"/>
      <c r="C148" s="20" t="s">
        <v>139</v>
      </c>
      <c r="D148" s="18" t="s">
        <v>227</v>
      </c>
      <c r="E148" s="1">
        <f t="shared" si="2"/>
        <v>559960.80000000005</v>
      </c>
      <c r="F148" s="2">
        <v>0</v>
      </c>
      <c r="G148" s="1">
        <f>162263.09+397697.71</f>
        <v>559960.80000000005</v>
      </c>
    </row>
    <row r="149" spans="1:7" ht="25.5" customHeight="1" x14ac:dyDescent="0.2">
      <c r="A149" s="46"/>
      <c r="B149" s="44" t="s">
        <v>72</v>
      </c>
      <c r="C149" s="8" t="s">
        <v>90</v>
      </c>
      <c r="D149" s="46" t="s">
        <v>227</v>
      </c>
      <c r="E149" s="1">
        <f t="shared" si="2"/>
        <v>100000</v>
      </c>
      <c r="F149" s="2">
        <v>0</v>
      </c>
      <c r="G149" s="1">
        <v>100000</v>
      </c>
    </row>
    <row r="150" spans="1:7" x14ac:dyDescent="0.2">
      <c r="A150" s="46"/>
      <c r="B150" s="44"/>
      <c r="C150" s="8" t="s">
        <v>123</v>
      </c>
      <c r="D150" s="46"/>
      <c r="E150" s="1">
        <f t="shared" si="2"/>
        <v>2599955</v>
      </c>
      <c r="F150" s="2">
        <v>0</v>
      </c>
      <c r="G150" s="1">
        <f>2601400-1445</f>
        <v>2599955</v>
      </c>
    </row>
    <row r="151" spans="1:7" ht="16.5" customHeight="1" x14ac:dyDescent="0.2">
      <c r="A151" s="46"/>
      <c r="B151" s="44"/>
      <c r="C151" s="8" t="s">
        <v>10</v>
      </c>
      <c r="D151" s="46"/>
      <c r="E151" s="1">
        <f t="shared" si="2"/>
        <v>1122500</v>
      </c>
      <c r="F151" s="2">
        <v>0</v>
      </c>
      <c r="G151" s="1">
        <f>1233600-111100</f>
        <v>1122500</v>
      </c>
    </row>
    <row r="152" spans="1:7" ht="38.25" x14ac:dyDescent="0.2">
      <c r="A152" s="46"/>
      <c r="B152" s="44"/>
      <c r="C152" s="7" t="s">
        <v>211</v>
      </c>
      <c r="D152" s="46"/>
      <c r="E152" s="1">
        <f t="shared" si="2"/>
        <v>398120</v>
      </c>
      <c r="F152" s="2"/>
      <c r="G152" s="1">
        <f>422876-24756</f>
        <v>398120</v>
      </c>
    </row>
    <row r="153" spans="1:7" ht="38.25" customHeight="1" x14ac:dyDescent="0.2">
      <c r="A153" s="46"/>
      <c r="B153" s="44"/>
      <c r="C153" s="8" t="s">
        <v>73</v>
      </c>
      <c r="D153" s="46"/>
      <c r="E153" s="1">
        <f t="shared" si="2"/>
        <v>70000</v>
      </c>
      <c r="F153" s="2">
        <v>0</v>
      </c>
      <c r="G153" s="1">
        <v>70000</v>
      </c>
    </row>
    <row r="154" spans="1:7" ht="25.5" x14ac:dyDescent="0.2">
      <c r="A154" s="46"/>
      <c r="B154" s="44"/>
      <c r="C154" s="8" t="s">
        <v>82</v>
      </c>
      <c r="D154" s="46"/>
      <c r="E154" s="1">
        <f t="shared" si="2"/>
        <v>195315.12</v>
      </c>
      <c r="F154" s="2">
        <v>0</v>
      </c>
      <c r="G154" s="1">
        <f>150000+45315.12</f>
        <v>195315.12</v>
      </c>
    </row>
    <row r="155" spans="1:7" ht="29.25" customHeight="1" x14ac:dyDescent="0.2">
      <c r="A155" s="46"/>
      <c r="B155" s="44"/>
      <c r="C155" s="8" t="s">
        <v>256</v>
      </c>
      <c r="D155" s="46"/>
      <c r="E155" s="1">
        <f t="shared" si="2"/>
        <v>327546.2</v>
      </c>
      <c r="F155" s="2">
        <v>0</v>
      </c>
      <c r="G155" s="1">
        <v>327546.2</v>
      </c>
    </row>
    <row r="156" spans="1:7" ht="25.5" x14ac:dyDescent="0.2">
      <c r="A156" s="46"/>
      <c r="B156" s="44"/>
      <c r="C156" s="8" t="s">
        <v>83</v>
      </c>
      <c r="D156" s="46"/>
      <c r="E156" s="1">
        <f t="shared" si="2"/>
        <v>19531.91</v>
      </c>
      <c r="F156" s="2">
        <v>0</v>
      </c>
      <c r="G156" s="1">
        <f>15000+4531.91</f>
        <v>19531.91</v>
      </c>
    </row>
    <row r="157" spans="1:7" ht="38.25" x14ac:dyDescent="0.2">
      <c r="A157" s="46"/>
      <c r="B157" s="44"/>
      <c r="C157" s="8" t="s">
        <v>257</v>
      </c>
      <c r="D157" s="46"/>
      <c r="E157" s="1">
        <f t="shared" si="2"/>
        <v>55000</v>
      </c>
      <c r="F157" s="2">
        <v>0</v>
      </c>
      <c r="G157" s="1">
        <f>35000+20000</f>
        <v>55000</v>
      </c>
    </row>
    <row r="158" spans="1:7" ht="30" customHeight="1" x14ac:dyDescent="0.2">
      <c r="A158" s="46"/>
      <c r="B158" s="44"/>
      <c r="C158" s="7" t="s">
        <v>258</v>
      </c>
      <c r="D158" s="46"/>
      <c r="E158" s="1">
        <f t="shared" si="2"/>
        <v>331243.40000000002</v>
      </c>
      <c r="F158" s="2">
        <v>0</v>
      </c>
      <c r="G158" s="1">
        <v>331243.40000000002</v>
      </c>
    </row>
    <row r="159" spans="1:7" ht="30" customHeight="1" x14ac:dyDescent="0.2">
      <c r="A159" s="46"/>
      <c r="B159" s="44" t="s">
        <v>105</v>
      </c>
      <c r="C159" s="8" t="s">
        <v>90</v>
      </c>
      <c r="D159" s="46" t="s">
        <v>227</v>
      </c>
      <c r="E159" s="1">
        <f t="shared" si="2"/>
        <v>100000</v>
      </c>
      <c r="F159" s="2">
        <v>0</v>
      </c>
      <c r="G159" s="1">
        <v>100000</v>
      </c>
    </row>
    <row r="160" spans="1:7" ht="25.5" x14ac:dyDescent="0.2">
      <c r="A160" s="46"/>
      <c r="B160" s="44"/>
      <c r="C160" s="20" t="s">
        <v>115</v>
      </c>
      <c r="D160" s="46"/>
      <c r="E160" s="1">
        <f t="shared" si="2"/>
        <v>228027.1</v>
      </c>
      <c r="F160" s="2">
        <v>0</v>
      </c>
      <c r="G160" s="1">
        <v>228027.1</v>
      </c>
    </row>
    <row r="161" spans="1:7" ht="25.5" x14ac:dyDescent="0.2">
      <c r="A161" s="46"/>
      <c r="B161" s="44"/>
      <c r="C161" s="20" t="s">
        <v>117</v>
      </c>
      <c r="D161" s="46"/>
      <c r="E161" s="1">
        <f t="shared" si="2"/>
        <v>61006.31</v>
      </c>
      <c r="F161" s="2">
        <v>0</v>
      </c>
      <c r="G161" s="1">
        <f>61006.31</f>
        <v>61006.31</v>
      </c>
    </row>
    <row r="162" spans="1:7" ht="16.5" customHeight="1" x14ac:dyDescent="0.2">
      <c r="A162" s="46"/>
      <c r="B162" s="44"/>
      <c r="C162" s="8" t="s">
        <v>10</v>
      </c>
      <c r="D162" s="46"/>
      <c r="E162" s="1">
        <f t="shared" si="2"/>
        <v>790977.61</v>
      </c>
      <c r="F162" s="2">
        <v>0</v>
      </c>
      <c r="G162" s="1">
        <f>87000+909600-238600+32977.61</f>
        <v>790977.61</v>
      </c>
    </row>
    <row r="163" spans="1:7" ht="29.25" customHeight="1" x14ac:dyDescent="0.2">
      <c r="A163" s="46"/>
      <c r="B163" s="44"/>
      <c r="C163" s="7" t="s">
        <v>88</v>
      </c>
      <c r="D163" s="46"/>
      <c r="E163" s="1">
        <f t="shared" si="2"/>
        <v>734750.02</v>
      </c>
      <c r="F163" s="2">
        <v>0</v>
      </c>
      <c r="G163" s="1">
        <f>1040600-305446.38-403.6</f>
        <v>734750.02</v>
      </c>
    </row>
    <row r="164" spans="1:7" ht="25.5" x14ac:dyDescent="0.2">
      <c r="A164" s="46"/>
      <c r="B164" s="44"/>
      <c r="C164" s="8" t="s">
        <v>89</v>
      </c>
      <c r="D164" s="46"/>
      <c r="E164" s="1">
        <f t="shared" si="2"/>
        <v>90000</v>
      </c>
      <c r="F164" s="2">
        <v>0</v>
      </c>
      <c r="G164" s="1">
        <v>90000</v>
      </c>
    </row>
    <row r="165" spans="1:7" ht="51" x14ac:dyDescent="0.2">
      <c r="A165" s="46"/>
      <c r="B165" s="44"/>
      <c r="C165" s="8" t="s">
        <v>259</v>
      </c>
      <c r="D165" s="46"/>
      <c r="E165" s="1">
        <f t="shared" si="2"/>
        <v>1885666.76</v>
      </c>
      <c r="F165" s="2"/>
      <c r="G165" s="1">
        <v>1885666.76</v>
      </c>
    </row>
    <row r="166" spans="1:7" x14ac:dyDescent="0.2">
      <c r="A166" s="46"/>
      <c r="B166" s="44"/>
      <c r="C166" s="8" t="s">
        <v>140</v>
      </c>
      <c r="D166" s="46"/>
      <c r="E166" s="1">
        <f t="shared" si="2"/>
        <v>499879.48</v>
      </c>
      <c r="F166" s="2">
        <v>0</v>
      </c>
      <c r="G166" s="1">
        <v>499879.48</v>
      </c>
    </row>
    <row r="167" spans="1:7" x14ac:dyDescent="0.2">
      <c r="A167" s="46"/>
      <c r="B167" s="44"/>
      <c r="C167" s="8" t="s">
        <v>66</v>
      </c>
      <c r="D167" s="46"/>
      <c r="E167" s="1">
        <f t="shared" si="2"/>
        <v>55389</v>
      </c>
      <c r="F167" s="2">
        <v>0</v>
      </c>
      <c r="G167" s="1">
        <v>55389</v>
      </c>
    </row>
    <row r="168" spans="1:7" ht="42" customHeight="1" x14ac:dyDescent="0.2">
      <c r="A168" s="46"/>
      <c r="B168" s="44"/>
      <c r="C168" s="8" t="s">
        <v>260</v>
      </c>
      <c r="D168" s="46"/>
      <c r="E168" s="1">
        <f t="shared" si="2"/>
        <v>50000</v>
      </c>
      <c r="F168" s="2">
        <v>0</v>
      </c>
      <c r="G168" s="1">
        <v>50000</v>
      </c>
    </row>
    <row r="169" spans="1:7" ht="30" customHeight="1" x14ac:dyDescent="0.2">
      <c r="A169" s="46"/>
      <c r="B169" s="44"/>
      <c r="C169" s="8" t="s">
        <v>281</v>
      </c>
      <c r="D169" s="46"/>
      <c r="E169" s="1">
        <f t="shared" si="2"/>
        <v>317436.40000000002</v>
      </c>
      <c r="F169" s="2">
        <v>0</v>
      </c>
      <c r="G169" s="1">
        <v>317436.40000000002</v>
      </c>
    </row>
    <row r="170" spans="1:7" ht="42.75" customHeight="1" x14ac:dyDescent="0.2">
      <c r="A170" s="46"/>
      <c r="B170" s="44"/>
      <c r="C170" s="8" t="s">
        <v>282</v>
      </c>
      <c r="D170" s="46"/>
      <c r="E170" s="1">
        <f t="shared" si="2"/>
        <v>22139</v>
      </c>
      <c r="F170" s="2">
        <v>0</v>
      </c>
      <c r="G170" s="1">
        <v>22139</v>
      </c>
    </row>
    <row r="171" spans="1:7" ht="30.75" customHeight="1" x14ac:dyDescent="0.2">
      <c r="A171" s="46"/>
      <c r="B171" s="44"/>
      <c r="C171" s="8" t="s">
        <v>141</v>
      </c>
      <c r="D171" s="46"/>
      <c r="E171" s="1">
        <f t="shared" si="2"/>
        <v>55675</v>
      </c>
      <c r="F171" s="2">
        <v>0</v>
      </c>
      <c r="G171" s="1">
        <f>58622.02-2947.02</f>
        <v>55675</v>
      </c>
    </row>
    <row r="172" spans="1:7" x14ac:dyDescent="0.2">
      <c r="A172" s="46"/>
      <c r="B172" s="44"/>
      <c r="C172" s="8" t="s">
        <v>212</v>
      </c>
      <c r="D172" s="46"/>
      <c r="E172" s="1">
        <f t="shared" ref="E172:E217" si="3">F172+G172</f>
        <v>104730</v>
      </c>
      <c r="F172" s="2">
        <v>0</v>
      </c>
      <c r="G172" s="1">
        <v>104730</v>
      </c>
    </row>
    <row r="173" spans="1:7" ht="32.25" customHeight="1" x14ac:dyDescent="0.2">
      <c r="A173" s="46"/>
      <c r="B173" s="44" t="s">
        <v>94</v>
      </c>
      <c r="C173" s="8" t="s">
        <v>90</v>
      </c>
      <c r="D173" s="46" t="s">
        <v>227</v>
      </c>
      <c r="E173" s="1">
        <f t="shared" si="3"/>
        <v>100000</v>
      </c>
      <c r="F173" s="2">
        <v>0</v>
      </c>
      <c r="G173" s="1">
        <v>100000</v>
      </c>
    </row>
    <row r="174" spans="1:7" ht="29.25" customHeight="1" x14ac:dyDescent="0.2">
      <c r="A174" s="46"/>
      <c r="B174" s="44"/>
      <c r="C174" s="8" t="s">
        <v>142</v>
      </c>
      <c r="D174" s="46"/>
      <c r="E174" s="1">
        <f t="shared" si="3"/>
        <v>448000</v>
      </c>
      <c r="F174" s="2">
        <v>0</v>
      </c>
      <c r="G174" s="1">
        <f>448000</f>
        <v>448000</v>
      </c>
    </row>
    <row r="175" spans="1:7" ht="25.5" x14ac:dyDescent="0.2">
      <c r="A175" s="46"/>
      <c r="B175" s="44"/>
      <c r="C175" s="8" t="s">
        <v>162</v>
      </c>
      <c r="D175" s="46"/>
      <c r="E175" s="1">
        <f t="shared" si="3"/>
        <v>99000</v>
      </c>
      <c r="F175" s="2"/>
      <c r="G175" s="1">
        <v>99000</v>
      </c>
    </row>
    <row r="176" spans="1:7" ht="25.5" x14ac:dyDescent="0.2">
      <c r="A176" s="46"/>
      <c r="B176" s="44"/>
      <c r="C176" s="8" t="s">
        <v>213</v>
      </c>
      <c r="D176" s="46"/>
      <c r="E176" s="1">
        <f t="shared" si="3"/>
        <v>82897.2</v>
      </c>
      <c r="F176" s="2"/>
      <c r="G176" s="1">
        <v>82897.2</v>
      </c>
    </row>
    <row r="177" spans="1:7" ht="38.25" x14ac:dyDescent="0.2">
      <c r="A177" s="46"/>
      <c r="B177" s="44"/>
      <c r="C177" s="8" t="s">
        <v>261</v>
      </c>
      <c r="D177" s="46"/>
      <c r="E177" s="1">
        <f t="shared" si="3"/>
        <v>171000</v>
      </c>
      <c r="F177" s="2">
        <v>0</v>
      </c>
      <c r="G177" s="1">
        <v>171000</v>
      </c>
    </row>
    <row r="178" spans="1:7" ht="25.5" x14ac:dyDescent="0.2">
      <c r="A178" s="46"/>
      <c r="B178" s="44"/>
      <c r="C178" s="7" t="s">
        <v>214</v>
      </c>
      <c r="D178" s="46"/>
      <c r="E178" s="1">
        <f t="shared" si="3"/>
        <v>17878.77</v>
      </c>
      <c r="F178" s="2"/>
      <c r="G178" s="1">
        <v>17878.77</v>
      </c>
    </row>
    <row r="179" spans="1:7" x14ac:dyDescent="0.2">
      <c r="A179" s="46"/>
      <c r="B179" s="44"/>
      <c r="C179" s="7" t="s">
        <v>10</v>
      </c>
      <c r="D179" s="46"/>
      <c r="E179" s="1">
        <f t="shared" si="3"/>
        <v>180000</v>
      </c>
      <c r="F179" s="2"/>
      <c r="G179" s="1">
        <v>180000</v>
      </c>
    </row>
    <row r="180" spans="1:7" ht="12.75" customHeight="1" x14ac:dyDescent="0.2">
      <c r="A180" s="46"/>
      <c r="B180" s="44" t="s">
        <v>86</v>
      </c>
      <c r="C180" s="7" t="s">
        <v>113</v>
      </c>
      <c r="D180" s="46" t="s">
        <v>227</v>
      </c>
      <c r="E180" s="1">
        <f t="shared" si="3"/>
        <v>22717.99</v>
      </c>
      <c r="F180" s="2">
        <v>0</v>
      </c>
      <c r="G180" s="1">
        <f>22718-0.01</f>
        <v>22717.99</v>
      </c>
    </row>
    <row r="181" spans="1:7" ht="25.5" customHeight="1" x14ac:dyDescent="0.2">
      <c r="A181" s="46"/>
      <c r="B181" s="44"/>
      <c r="C181" s="7" t="s">
        <v>87</v>
      </c>
      <c r="D181" s="46"/>
      <c r="E181" s="1">
        <f t="shared" si="3"/>
        <v>436000</v>
      </c>
      <c r="F181" s="2">
        <v>0</v>
      </c>
      <c r="G181" s="1">
        <f>589055-141665.13-11389.87</f>
        <v>436000</v>
      </c>
    </row>
    <row r="182" spans="1:7" ht="25.5" customHeight="1" x14ac:dyDescent="0.2">
      <c r="A182" s="46"/>
      <c r="B182" s="44"/>
      <c r="C182" s="19" t="s">
        <v>206</v>
      </c>
      <c r="D182" s="46"/>
      <c r="E182" s="1">
        <f t="shared" si="3"/>
        <v>86133.33</v>
      </c>
      <c r="F182" s="2">
        <v>0</v>
      </c>
      <c r="G182" s="1">
        <v>86133.33</v>
      </c>
    </row>
    <row r="183" spans="1:7" ht="38.25" customHeight="1" x14ac:dyDescent="0.2">
      <c r="A183" s="46"/>
      <c r="B183" s="44" t="s">
        <v>74</v>
      </c>
      <c r="C183" s="8" t="s">
        <v>10</v>
      </c>
      <c r="D183" s="46" t="s">
        <v>227</v>
      </c>
      <c r="E183" s="1">
        <f t="shared" si="3"/>
        <v>139500</v>
      </c>
      <c r="F183" s="2">
        <v>0</v>
      </c>
      <c r="G183" s="1">
        <v>139500</v>
      </c>
    </row>
    <row r="184" spans="1:7" ht="30" customHeight="1" x14ac:dyDescent="0.2">
      <c r="A184" s="46"/>
      <c r="B184" s="44"/>
      <c r="C184" s="8" t="s">
        <v>90</v>
      </c>
      <c r="D184" s="46"/>
      <c r="E184" s="1">
        <f t="shared" si="3"/>
        <v>100000</v>
      </c>
      <c r="F184" s="2">
        <v>0</v>
      </c>
      <c r="G184" s="1">
        <v>100000</v>
      </c>
    </row>
    <row r="185" spans="1:7" ht="93.75" customHeight="1" x14ac:dyDescent="0.2">
      <c r="A185" s="46"/>
      <c r="B185" s="44" t="s">
        <v>11</v>
      </c>
      <c r="C185" s="20" t="s">
        <v>262</v>
      </c>
      <c r="D185" s="46" t="s">
        <v>227</v>
      </c>
      <c r="E185" s="1">
        <f t="shared" si="3"/>
        <v>13326254.1</v>
      </c>
      <c r="F185" s="2">
        <v>0</v>
      </c>
      <c r="G185" s="1">
        <f>12952710-934543.62+1300000+192300-616900+341976.1-31191.15+129112.95-7210.18</f>
        <v>13326254.1</v>
      </c>
    </row>
    <row r="186" spans="1:7" ht="32.25" customHeight="1" x14ac:dyDescent="0.2">
      <c r="A186" s="46"/>
      <c r="B186" s="44"/>
      <c r="C186" s="8" t="s">
        <v>90</v>
      </c>
      <c r="D186" s="46"/>
      <c r="E186" s="1">
        <f t="shared" si="3"/>
        <v>100000</v>
      </c>
      <c r="F186" s="2">
        <v>0</v>
      </c>
      <c r="G186" s="1">
        <v>100000</v>
      </c>
    </row>
    <row r="187" spans="1:7" ht="35.25" customHeight="1" x14ac:dyDescent="0.2">
      <c r="A187" s="46"/>
      <c r="B187" s="44"/>
      <c r="C187" s="8" t="s">
        <v>263</v>
      </c>
      <c r="D187" s="46"/>
      <c r="E187" s="1">
        <f t="shared" si="3"/>
        <v>139618</v>
      </c>
      <c r="F187" s="2">
        <v>0</v>
      </c>
      <c r="G187" s="1">
        <v>139618</v>
      </c>
    </row>
    <row r="188" spans="1:7" ht="33" customHeight="1" x14ac:dyDescent="0.2">
      <c r="A188" s="46"/>
      <c r="B188" s="44" t="s">
        <v>95</v>
      </c>
      <c r="C188" s="8" t="s">
        <v>90</v>
      </c>
      <c r="D188" s="46" t="s">
        <v>227</v>
      </c>
      <c r="E188" s="1">
        <f t="shared" si="3"/>
        <v>100000</v>
      </c>
      <c r="F188" s="2">
        <v>0</v>
      </c>
      <c r="G188" s="1">
        <v>100000</v>
      </c>
    </row>
    <row r="189" spans="1:7" ht="16.5" customHeight="1" x14ac:dyDescent="0.2">
      <c r="A189" s="46"/>
      <c r="B189" s="44"/>
      <c r="C189" s="8" t="s">
        <v>143</v>
      </c>
      <c r="D189" s="46"/>
      <c r="E189" s="1">
        <f t="shared" si="3"/>
        <v>439500</v>
      </c>
      <c r="F189" s="2">
        <v>0</v>
      </c>
      <c r="G189" s="1">
        <f>493500-30045.6-23954.4</f>
        <v>439500</v>
      </c>
    </row>
    <row r="190" spans="1:7" ht="54.75" customHeight="1" x14ac:dyDescent="0.2">
      <c r="A190" s="46"/>
      <c r="B190" s="44"/>
      <c r="C190" s="8" t="s">
        <v>164</v>
      </c>
      <c r="D190" s="46"/>
      <c r="E190" s="1">
        <f t="shared" si="3"/>
        <v>1434045.6</v>
      </c>
      <c r="F190" s="2">
        <v>0</v>
      </c>
      <c r="G190" s="1">
        <f>1408623.9-4623.9+30045.6</f>
        <v>1434045.6</v>
      </c>
    </row>
    <row r="191" spans="1:7" ht="18.75" customHeight="1" x14ac:dyDescent="0.2">
      <c r="A191" s="46"/>
      <c r="B191" s="44" t="s">
        <v>75</v>
      </c>
      <c r="C191" s="8" t="s">
        <v>10</v>
      </c>
      <c r="D191" s="46" t="s">
        <v>227</v>
      </c>
      <c r="E191" s="1">
        <f t="shared" si="3"/>
        <v>280000</v>
      </c>
      <c r="F191" s="2">
        <v>0</v>
      </c>
      <c r="G191" s="1">
        <f>30000+20000+50000+140000+40000</f>
        <v>280000</v>
      </c>
    </row>
    <row r="192" spans="1:7" ht="28.5" customHeight="1" x14ac:dyDescent="0.2">
      <c r="A192" s="46"/>
      <c r="B192" s="44"/>
      <c r="C192" s="8" t="s">
        <v>92</v>
      </c>
      <c r="D192" s="46"/>
      <c r="E192" s="1">
        <f t="shared" si="3"/>
        <v>198080</v>
      </c>
      <c r="F192" s="2">
        <v>0</v>
      </c>
      <c r="G192" s="1">
        <f>200000-1920</f>
        <v>198080</v>
      </c>
    </row>
    <row r="193" spans="1:7" ht="25.5" customHeight="1" x14ac:dyDescent="0.2">
      <c r="A193" s="46"/>
      <c r="B193" s="44" t="s">
        <v>76</v>
      </c>
      <c r="C193" s="8" t="s">
        <v>283</v>
      </c>
      <c r="D193" s="46" t="s">
        <v>227</v>
      </c>
      <c r="E193" s="1">
        <f t="shared" si="3"/>
        <v>98039</v>
      </c>
      <c r="F193" s="2">
        <v>0</v>
      </c>
      <c r="G193" s="1">
        <f>99998-1959</f>
        <v>98039</v>
      </c>
    </row>
    <row r="194" spans="1:7" ht="38.25" x14ac:dyDescent="0.2">
      <c r="A194" s="46"/>
      <c r="B194" s="44"/>
      <c r="C194" s="8" t="s">
        <v>264</v>
      </c>
      <c r="D194" s="46"/>
      <c r="E194" s="1">
        <f t="shared" si="3"/>
        <v>151908.12000000002</v>
      </c>
      <c r="F194" s="2">
        <v>0</v>
      </c>
      <c r="G194" s="1">
        <f>151996.2-88.08</f>
        <v>151908.12000000002</v>
      </c>
    </row>
    <row r="195" spans="1:7" ht="25.5" x14ac:dyDescent="0.2">
      <c r="A195" s="46"/>
      <c r="B195" s="44"/>
      <c r="C195" s="8" t="s">
        <v>144</v>
      </c>
      <c r="D195" s="46"/>
      <c r="E195" s="1">
        <f t="shared" si="3"/>
        <v>159705</v>
      </c>
      <c r="F195" s="2">
        <v>0</v>
      </c>
      <c r="G195" s="1">
        <f>189000-29295</f>
        <v>159705</v>
      </c>
    </row>
    <row r="196" spans="1:7" ht="63" customHeight="1" x14ac:dyDescent="0.2">
      <c r="A196" s="46"/>
      <c r="B196" s="44"/>
      <c r="C196" s="7" t="s">
        <v>284</v>
      </c>
      <c r="D196" s="46"/>
      <c r="E196" s="1">
        <f t="shared" si="3"/>
        <v>198000</v>
      </c>
      <c r="F196" s="2">
        <v>0</v>
      </c>
      <c r="G196" s="1">
        <v>198000</v>
      </c>
    </row>
    <row r="197" spans="1:7" x14ac:dyDescent="0.2">
      <c r="A197" s="46"/>
      <c r="B197" s="44"/>
      <c r="C197" s="7" t="s">
        <v>226</v>
      </c>
      <c r="D197" s="46"/>
      <c r="E197" s="1">
        <f t="shared" si="3"/>
        <v>19300</v>
      </c>
      <c r="F197" s="2">
        <v>0</v>
      </c>
      <c r="G197" s="1">
        <v>19300</v>
      </c>
    </row>
    <row r="198" spans="1:7" ht="35.25" customHeight="1" x14ac:dyDescent="0.2">
      <c r="A198" s="46"/>
      <c r="B198" s="44"/>
      <c r="C198" s="8" t="s">
        <v>265</v>
      </c>
      <c r="D198" s="46"/>
      <c r="E198" s="1">
        <f t="shared" si="3"/>
        <v>72641.100000000006</v>
      </c>
      <c r="F198" s="2">
        <v>0</v>
      </c>
      <c r="G198" s="1">
        <v>72641.100000000006</v>
      </c>
    </row>
    <row r="199" spans="1:7" ht="12.75" customHeight="1" x14ac:dyDescent="0.2">
      <c r="A199" s="46"/>
      <c r="B199" s="44" t="s">
        <v>85</v>
      </c>
      <c r="C199" s="7" t="s">
        <v>84</v>
      </c>
      <c r="D199" s="46" t="s">
        <v>227</v>
      </c>
      <c r="E199" s="1">
        <f t="shared" si="3"/>
        <v>226950</v>
      </c>
      <c r="F199" s="2">
        <v>0</v>
      </c>
      <c r="G199" s="1">
        <f>267015-40065</f>
        <v>226950</v>
      </c>
    </row>
    <row r="200" spans="1:7" ht="25.5" x14ac:dyDescent="0.2">
      <c r="A200" s="46"/>
      <c r="B200" s="44"/>
      <c r="C200" s="8" t="s">
        <v>90</v>
      </c>
      <c r="D200" s="46"/>
      <c r="E200" s="1">
        <f t="shared" si="3"/>
        <v>100000</v>
      </c>
      <c r="F200" s="2">
        <v>0</v>
      </c>
      <c r="G200" s="1">
        <v>100000</v>
      </c>
    </row>
    <row r="201" spans="1:7" x14ac:dyDescent="0.2">
      <c r="A201" s="46"/>
      <c r="B201" s="44"/>
      <c r="C201" s="8" t="s">
        <v>10</v>
      </c>
      <c r="D201" s="46"/>
      <c r="E201" s="1">
        <f t="shared" si="3"/>
        <v>225000</v>
      </c>
      <c r="F201" s="2">
        <v>0</v>
      </c>
      <c r="G201" s="1">
        <v>225000</v>
      </c>
    </row>
    <row r="202" spans="1:7" ht="25.5" customHeight="1" x14ac:dyDescent="0.2">
      <c r="A202" s="46"/>
      <c r="B202" s="44" t="s">
        <v>77</v>
      </c>
      <c r="C202" s="8" t="s">
        <v>285</v>
      </c>
      <c r="D202" s="46" t="s">
        <v>227</v>
      </c>
      <c r="E202" s="1">
        <f t="shared" si="3"/>
        <v>58300</v>
      </c>
      <c r="F202" s="2">
        <v>0</v>
      </c>
      <c r="G202" s="1">
        <v>58300</v>
      </c>
    </row>
    <row r="203" spans="1:7" ht="25.5" x14ac:dyDescent="0.2">
      <c r="A203" s="46"/>
      <c r="B203" s="44"/>
      <c r="C203" s="8" t="s">
        <v>79</v>
      </c>
      <c r="D203" s="46"/>
      <c r="E203" s="1">
        <f t="shared" si="3"/>
        <v>24806.799999999999</v>
      </c>
      <c r="F203" s="2">
        <v>0</v>
      </c>
      <c r="G203" s="1">
        <f>2406.8+22400</f>
        <v>24806.799999999999</v>
      </c>
    </row>
    <row r="204" spans="1:7" ht="25.5" x14ac:dyDescent="0.2">
      <c r="A204" s="46"/>
      <c r="B204" s="44"/>
      <c r="C204" s="8" t="s">
        <v>80</v>
      </c>
      <c r="D204" s="46"/>
      <c r="E204" s="1">
        <f t="shared" si="3"/>
        <v>62000</v>
      </c>
      <c r="F204" s="2">
        <v>0</v>
      </c>
      <c r="G204" s="1">
        <v>62000</v>
      </c>
    </row>
    <row r="205" spans="1:7" x14ac:dyDescent="0.2">
      <c r="A205" s="46"/>
      <c r="B205" s="44"/>
      <c r="C205" s="8" t="s">
        <v>185</v>
      </c>
      <c r="D205" s="46"/>
      <c r="E205" s="1">
        <f t="shared" si="3"/>
        <v>14196</v>
      </c>
      <c r="F205" s="2"/>
      <c r="G205" s="1">
        <f>11250.62+2945.38</f>
        <v>14196</v>
      </c>
    </row>
    <row r="206" spans="1:7" x14ac:dyDescent="0.2">
      <c r="A206" s="46"/>
      <c r="B206" s="44"/>
      <c r="C206" s="7" t="s">
        <v>215</v>
      </c>
      <c r="D206" s="46"/>
      <c r="E206" s="1">
        <f t="shared" si="3"/>
        <v>722349.2</v>
      </c>
      <c r="F206" s="2">
        <v>0</v>
      </c>
      <c r="G206" s="1">
        <v>722349.2</v>
      </c>
    </row>
    <row r="207" spans="1:7" ht="25.5" x14ac:dyDescent="0.2">
      <c r="A207" s="46"/>
      <c r="B207" s="44"/>
      <c r="C207" s="7" t="s">
        <v>216</v>
      </c>
      <c r="D207" s="46"/>
      <c r="E207" s="1">
        <f t="shared" si="3"/>
        <v>263000</v>
      </c>
      <c r="F207" s="2">
        <v>0</v>
      </c>
      <c r="G207" s="1">
        <v>263000</v>
      </c>
    </row>
    <row r="208" spans="1:7" ht="25.5" x14ac:dyDescent="0.2">
      <c r="A208" s="46"/>
      <c r="B208" s="44"/>
      <c r="C208" s="8" t="s">
        <v>81</v>
      </c>
      <c r="D208" s="46"/>
      <c r="E208" s="1">
        <f t="shared" si="3"/>
        <v>139000</v>
      </c>
      <c r="F208" s="2">
        <v>0</v>
      </c>
      <c r="G208" s="1">
        <f>142374-3374</f>
        <v>139000</v>
      </c>
    </row>
    <row r="209" spans="1:7" ht="63.75" x14ac:dyDescent="0.2">
      <c r="A209" s="46"/>
      <c r="B209" s="44"/>
      <c r="C209" s="8" t="s">
        <v>286</v>
      </c>
      <c r="D209" s="46"/>
      <c r="E209" s="1">
        <f t="shared" si="3"/>
        <v>250000</v>
      </c>
      <c r="F209" s="2">
        <v>0</v>
      </c>
      <c r="G209" s="1">
        <v>250000</v>
      </c>
    </row>
    <row r="210" spans="1:7" x14ac:dyDescent="0.2">
      <c r="A210" s="46"/>
      <c r="B210" s="44"/>
      <c r="C210" s="8" t="s">
        <v>66</v>
      </c>
      <c r="D210" s="46"/>
      <c r="E210" s="1">
        <f t="shared" si="3"/>
        <v>34930.400000000001</v>
      </c>
      <c r="F210" s="2">
        <v>0</v>
      </c>
      <c r="G210" s="1">
        <v>34930.400000000001</v>
      </c>
    </row>
    <row r="211" spans="1:7" ht="25.5" x14ac:dyDescent="0.2">
      <c r="A211" s="46"/>
      <c r="B211" s="44"/>
      <c r="C211" s="8" t="s">
        <v>78</v>
      </c>
      <c r="D211" s="46"/>
      <c r="E211" s="1">
        <f t="shared" si="3"/>
        <v>166000</v>
      </c>
      <c r="F211" s="2">
        <v>0</v>
      </c>
      <c r="G211" s="1">
        <v>166000</v>
      </c>
    </row>
    <row r="212" spans="1:7" ht="39" customHeight="1" x14ac:dyDescent="0.2">
      <c r="A212" s="46"/>
      <c r="B212" s="44"/>
      <c r="C212" s="7" t="s">
        <v>267</v>
      </c>
      <c r="D212" s="46"/>
      <c r="E212" s="1">
        <f t="shared" si="3"/>
        <v>278716.40000000002</v>
      </c>
      <c r="F212" s="2">
        <v>0</v>
      </c>
      <c r="G212" s="1">
        <f>287270-8553.6</f>
        <v>278716.40000000002</v>
      </c>
    </row>
    <row r="213" spans="1:7" ht="29.25" customHeight="1" x14ac:dyDescent="0.2">
      <c r="A213" s="46"/>
      <c r="B213" s="44"/>
      <c r="C213" s="8" t="s">
        <v>287</v>
      </c>
      <c r="D213" s="46"/>
      <c r="E213" s="1">
        <f t="shared" si="3"/>
        <v>146700</v>
      </c>
      <c r="F213" s="2">
        <v>0</v>
      </c>
      <c r="G213" s="1">
        <f>166000-19300</f>
        <v>146700</v>
      </c>
    </row>
    <row r="214" spans="1:7" ht="37.5" customHeight="1" x14ac:dyDescent="0.2">
      <c r="A214" s="46"/>
      <c r="B214" s="44"/>
      <c r="C214" s="7" t="s">
        <v>266</v>
      </c>
      <c r="D214" s="46"/>
      <c r="E214" s="1">
        <f t="shared" si="3"/>
        <v>333300</v>
      </c>
      <c r="F214" s="2">
        <v>0</v>
      </c>
      <c r="G214" s="1">
        <v>333300</v>
      </c>
    </row>
    <row r="215" spans="1:7" ht="39.75" customHeight="1" x14ac:dyDescent="0.2">
      <c r="A215" s="46"/>
      <c r="B215" s="44"/>
      <c r="C215" s="7" t="s">
        <v>217</v>
      </c>
      <c r="D215" s="46"/>
      <c r="E215" s="1">
        <f t="shared" si="3"/>
        <v>32263</v>
      </c>
      <c r="F215" s="2">
        <v>0</v>
      </c>
      <c r="G215" s="1">
        <v>32263</v>
      </c>
    </row>
    <row r="216" spans="1:7" ht="25.5" x14ac:dyDescent="0.2">
      <c r="A216" s="46"/>
      <c r="B216" s="44"/>
      <c r="C216" s="7" t="s">
        <v>218</v>
      </c>
      <c r="D216" s="46"/>
      <c r="E216" s="1">
        <f t="shared" si="3"/>
        <v>18200</v>
      </c>
      <c r="F216" s="2">
        <v>0</v>
      </c>
      <c r="G216" s="1">
        <v>18200</v>
      </c>
    </row>
    <row r="217" spans="1:7" x14ac:dyDescent="0.2">
      <c r="A217" s="46"/>
      <c r="B217" s="44"/>
      <c r="C217" s="7" t="s">
        <v>219</v>
      </c>
      <c r="D217" s="46"/>
      <c r="E217" s="1">
        <f t="shared" si="3"/>
        <v>383118</v>
      </c>
      <c r="F217" s="2">
        <v>0</v>
      </c>
      <c r="G217" s="1">
        <v>383118</v>
      </c>
    </row>
    <row r="218" spans="1:7" x14ac:dyDescent="0.2">
      <c r="A218" s="46"/>
      <c r="B218" s="48" t="s">
        <v>8</v>
      </c>
      <c r="C218" s="48"/>
      <c r="D218" s="18"/>
      <c r="E218" s="1">
        <f>SUM(E106:E217)</f>
        <v>87819064.929999992</v>
      </c>
      <c r="F218" s="1">
        <f t="shared" ref="F218:G218" si="4">SUM(F106:F217)</f>
        <v>22488940</v>
      </c>
      <c r="G218" s="1">
        <f t="shared" si="4"/>
        <v>65330124.93</v>
      </c>
    </row>
    <row r="219" spans="1:7" x14ac:dyDescent="0.2">
      <c r="A219" s="46"/>
      <c r="B219" s="47" t="s">
        <v>119</v>
      </c>
      <c r="C219" s="47"/>
      <c r="D219" s="47"/>
      <c r="E219" s="1">
        <f t="shared" ref="E219" si="5">F219+G219</f>
        <v>765665.74999999988</v>
      </c>
      <c r="F219" s="1"/>
      <c r="G219" s="1">
        <f>G147+G203+G142+300128.6+G144+G116+G176+G182+G216</f>
        <v>765665.74999999988</v>
      </c>
    </row>
    <row r="220" spans="1:7" ht="38.25" customHeight="1" x14ac:dyDescent="0.2">
      <c r="A220" s="46" t="s">
        <v>12</v>
      </c>
      <c r="B220" s="44" t="s">
        <v>13</v>
      </c>
      <c r="C220" s="20" t="s">
        <v>121</v>
      </c>
      <c r="D220" s="46" t="s">
        <v>227</v>
      </c>
      <c r="E220" s="1">
        <f>F220+G220</f>
        <v>2088711.6</v>
      </c>
      <c r="F220" s="2">
        <v>0</v>
      </c>
      <c r="G220" s="1">
        <f>1563900+237718+281078.6+6015</f>
        <v>2088711.6</v>
      </c>
    </row>
    <row r="221" spans="1:7" x14ac:dyDescent="0.2">
      <c r="A221" s="46"/>
      <c r="B221" s="44"/>
      <c r="C221" s="8" t="s">
        <v>97</v>
      </c>
      <c r="D221" s="46"/>
      <c r="E221" s="1">
        <f t="shared" ref="E221:E228" si="6">F221+G221</f>
        <v>34800</v>
      </c>
      <c r="F221" s="2">
        <v>0</v>
      </c>
      <c r="G221" s="1">
        <v>34800</v>
      </c>
    </row>
    <row r="222" spans="1:7" x14ac:dyDescent="0.2">
      <c r="A222" s="46"/>
      <c r="B222" s="44"/>
      <c r="C222" s="8" t="s">
        <v>155</v>
      </c>
      <c r="D222" s="46"/>
      <c r="E222" s="1">
        <f t="shared" si="6"/>
        <v>480625.44</v>
      </c>
      <c r="F222" s="2">
        <v>0</v>
      </c>
      <c r="G222" s="1">
        <f>480696.54-71.1</f>
        <v>480625.44</v>
      </c>
    </row>
    <row r="223" spans="1:7" x14ac:dyDescent="0.2">
      <c r="A223" s="46"/>
      <c r="B223" s="44"/>
      <c r="C223" s="8" t="s">
        <v>156</v>
      </c>
      <c r="D223" s="46"/>
      <c r="E223" s="1">
        <f t="shared" si="6"/>
        <v>73103.460000000006</v>
      </c>
      <c r="F223" s="2">
        <v>0</v>
      </c>
      <c r="G223" s="1">
        <v>73103.460000000006</v>
      </c>
    </row>
    <row r="224" spans="1:7" ht="38.25" x14ac:dyDescent="0.2">
      <c r="A224" s="46"/>
      <c r="B224" s="26" t="s">
        <v>96</v>
      </c>
      <c r="C224" s="23" t="s">
        <v>112</v>
      </c>
      <c r="D224" s="18" t="s">
        <v>227</v>
      </c>
      <c r="E224" s="1">
        <f t="shared" si="6"/>
        <v>50000</v>
      </c>
      <c r="F224" s="2">
        <v>0</v>
      </c>
      <c r="G224" s="1">
        <v>50000</v>
      </c>
    </row>
    <row r="225" spans="1:7" ht="38.25" x14ac:dyDescent="0.2">
      <c r="A225" s="46"/>
      <c r="B225" s="44" t="s">
        <v>145</v>
      </c>
      <c r="C225" s="23" t="s">
        <v>268</v>
      </c>
      <c r="D225" s="18" t="s">
        <v>227</v>
      </c>
      <c r="E225" s="1">
        <f t="shared" si="6"/>
        <v>20526</v>
      </c>
      <c r="F225" s="2"/>
      <c r="G225" s="1">
        <v>20526</v>
      </c>
    </row>
    <row r="226" spans="1:7" ht="38.25" x14ac:dyDescent="0.2">
      <c r="A226" s="46"/>
      <c r="B226" s="44"/>
      <c r="C226" s="23" t="s">
        <v>163</v>
      </c>
      <c r="D226" s="18" t="s">
        <v>227</v>
      </c>
      <c r="E226" s="1">
        <f t="shared" si="6"/>
        <v>3765089.6</v>
      </c>
      <c r="F226" s="2">
        <v>0</v>
      </c>
      <c r="G226" s="1">
        <v>3765089.6</v>
      </c>
    </row>
    <row r="227" spans="1:7" ht="38.25" x14ac:dyDescent="0.2">
      <c r="A227" s="46"/>
      <c r="B227" s="26" t="s">
        <v>146</v>
      </c>
      <c r="C227" s="7" t="s">
        <v>269</v>
      </c>
      <c r="D227" s="18" t="s">
        <v>227</v>
      </c>
      <c r="E227" s="1">
        <f t="shared" si="6"/>
        <v>40000</v>
      </c>
      <c r="F227" s="2">
        <v>0</v>
      </c>
      <c r="G227" s="1">
        <v>40000</v>
      </c>
    </row>
    <row r="228" spans="1:7" ht="42.75" customHeight="1" x14ac:dyDescent="0.2">
      <c r="A228" s="46"/>
      <c r="B228" s="26" t="s">
        <v>186</v>
      </c>
      <c r="C228" s="7" t="s">
        <v>270</v>
      </c>
      <c r="D228" s="18" t="s">
        <v>227</v>
      </c>
      <c r="E228" s="1">
        <f t="shared" si="6"/>
        <v>35000</v>
      </c>
      <c r="F228" s="2"/>
      <c r="G228" s="1">
        <v>35000</v>
      </c>
    </row>
    <row r="229" spans="1:7" ht="15" customHeight="1" x14ac:dyDescent="0.2">
      <c r="A229" s="46"/>
      <c r="B229" s="49" t="s">
        <v>8</v>
      </c>
      <c r="C229" s="49"/>
      <c r="D229" s="21"/>
      <c r="E229" s="1">
        <f>SUM(E220:E228)</f>
        <v>6587856.0999999996</v>
      </c>
      <c r="F229" s="1">
        <f>SUM(F220:F227)</f>
        <v>0</v>
      </c>
      <c r="G229" s="1">
        <f>SUM(G220:G228)</f>
        <v>6587856.0999999996</v>
      </c>
    </row>
    <row r="230" spans="1:7" ht="15" customHeight="1" x14ac:dyDescent="0.2">
      <c r="A230" s="46"/>
      <c r="B230" s="47" t="s">
        <v>119</v>
      </c>
      <c r="C230" s="47"/>
      <c r="D230" s="47"/>
      <c r="E230" s="1">
        <f t="shared" ref="E230:E233" si="7">F230+G230</f>
        <v>50000</v>
      </c>
      <c r="F230" s="1"/>
      <c r="G230" s="1">
        <f>G224</f>
        <v>50000</v>
      </c>
    </row>
    <row r="231" spans="1:7" ht="97.5" customHeight="1" x14ac:dyDescent="0.2">
      <c r="A231" s="46" t="s">
        <v>14</v>
      </c>
      <c r="B231" s="44" t="s">
        <v>15</v>
      </c>
      <c r="C231" s="48" t="s">
        <v>16</v>
      </c>
      <c r="D231" s="18" t="s">
        <v>271</v>
      </c>
      <c r="E231" s="1">
        <f t="shared" si="7"/>
        <v>18600400</v>
      </c>
      <c r="F231" s="2">
        <v>16100400</v>
      </c>
      <c r="G231" s="1">
        <v>2500000</v>
      </c>
    </row>
    <row r="232" spans="1:7" ht="41.25" customHeight="1" x14ac:dyDescent="0.2">
      <c r="A232" s="46"/>
      <c r="B232" s="44"/>
      <c r="C232" s="48"/>
      <c r="D232" s="18" t="s">
        <v>227</v>
      </c>
      <c r="E232" s="1">
        <f t="shared" si="7"/>
        <v>806090.02</v>
      </c>
      <c r="F232" s="2">
        <v>0</v>
      </c>
      <c r="G232" s="1">
        <f>6399600-4680000-913509.98</f>
        <v>806090.02</v>
      </c>
    </row>
    <row r="233" spans="1:7" ht="41.25" customHeight="1" x14ac:dyDescent="0.2">
      <c r="A233" s="46"/>
      <c r="B233" s="26" t="s">
        <v>147</v>
      </c>
      <c r="C233" s="5" t="s">
        <v>148</v>
      </c>
      <c r="D233" s="18" t="s">
        <v>227</v>
      </c>
      <c r="E233" s="1">
        <f t="shared" si="7"/>
        <v>288500</v>
      </c>
      <c r="F233" s="2">
        <v>0</v>
      </c>
      <c r="G233" s="1">
        <v>288500</v>
      </c>
    </row>
    <row r="234" spans="1:7" x14ac:dyDescent="0.2">
      <c r="A234" s="46"/>
      <c r="B234" s="49" t="s">
        <v>8</v>
      </c>
      <c r="C234" s="49"/>
      <c r="D234" s="18"/>
      <c r="E234" s="1">
        <f>SUM(E231:E233)</f>
        <v>19694990.02</v>
      </c>
      <c r="F234" s="1">
        <f>SUM(F231:F233)</f>
        <v>16100400</v>
      </c>
      <c r="G234" s="1">
        <f>SUM(G231:G233)</f>
        <v>3594590.02</v>
      </c>
    </row>
    <row r="235" spans="1:7" x14ac:dyDescent="0.2">
      <c r="A235" s="46"/>
      <c r="B235" s="47" t="s">
        <v>119</v>
      </c>
      <c r="C235" s="47"/>
      <c r="D235" s="47"/>
      <c r="E235" s="1">
        <f>G235+F235</f>
        <v>288500</v>
      </c>
      <c r="F235" s="1">
        <f t="shared" ref="F235" si="8">F233+F232</f>
        <v>0</v>
      </c>
      <c r="G235" s="1">
        <f>G233</f>
        <v>288500</v>
      </c>
    </row>
    <row r="236" spans="1:7" ht="99.75" customHeight="1" x14ac:dyDescent="0.2">
      <c r="A236" s="46"/>
      <c r="B236" s="44" t="s">
        <v>149</v>
      </c>
      <c r="C236" s="5" t="s">
        <v>272</v>
      </c>
      <c r="D236" s="18" t="s">
        <v>227</v>
      </c>
      <c r="E236" s="1">
        <f t="shared" ref="E236:E239" si="9">F236+G236</f>
        <v>826012</v>
      </c>
      <c r="F236" s="2">
        <v>0</v>
      </c>
      <c r="G236" s="1">
        <v>826012</v>
      </c>
    </row>
    <row r="237" spans="1:7" ht="38.25" x14ac:dyDescent="0.2">
      <c r="A237" s="46"/>
      <c r="B237" s="44"/>
      <c r="C237" s="20" t="s">
        <v>273</v>
      </c>
      <c r="D237" s="18" t="s">
        <v>227</v>
      </c>
      <c r="E237" s="1">
        <f t="shared" si="9"/>
        <v>7700</v>
      </c>
      <c r="F237" s="2"/>
      <c r="G237" s="1">
        <v>7700</v>
      </c>
    </row>
    <row r="238" spans="1:7" ht="38.25" x14ac:dyDescent="0.2">
      <c r="A238" s="46"/>
      <c r="B238" s="44"/>
      <c r="C238" s="20" t="s">
        <v>66</v>
      </c>
      <c r="D238" s="18" t="s">
        <v>227</v>
      </c>
      <c r="E238" s="1">
        <f t="shared" si="9"/>
        <v>29200</v>
      </c>
      <c r="F238" s="2"/>
      <c r="G238" s="1">
        <v>29200</v>
      </c>
    </row>
    <row r="239" spans="1:7" ht="38.25" x14ac:dyDescent="0.2">
      <c r="A239" s="46"/>
      <c r="B239" s="44"/>
      <c r="C239" s="20" t="s">
        <v>187</v>
      </c>
      <c r="D239" s="18" t="s">
        <v>227</v>
      </c>
      <c r="E239" s="1">
        <f t="shared" si="9"/>
        <v>7744</v>
      </c>
      <c r="F239" s="2"/>
      <c r="G239" s="1">
        <v>7744</v>
      </c>
    </row>
    <row r="240" spans="1:7" x14ac:dyDescent="0.2">
      <c r="A240" s="46"/>
      <c r="B240" s="49" t="s">
        <v>8</v>
      </c>
      <c r="C240" s="49"/>
      <c r="D240" s="21"/>
      <c r="E240" s="1">
        <f>F240+G240</f>
        <v>870656</v>
      </c>
      <c r="F240" s="1">
        <f>F236</f>
        <v>0</v>
      </c>
      <c r="G240" s="1">
        <f>SUM(G236:G239)</f>
        <v>870656</v>
      </c>
    </row>
    <row r="241" spans="1:7" x14ac:dyDescent="0.2">
      <c r="A241" s="46"/>
      <c r="B241" s="47" t="s">
        <v>119</v>
      </c>
      <c r="C241" s="47"/>
      <c r="D241" s="47"/>
      <c r="E241" s="1">
        <v>0</v>
      </c>
      <c r="F241" s="1"/>
      <c r="G241" s="1">
        <v>0</v>
      </c>
    </row>
    <row r="242" spans="1:7" x14ac:dyDescent="0.2">
      <c r="A242" s="49" t="s">
        <v>17</v>
      </c>
      <c r="B242" s="49"/>
      <c r="C242" s="49"/>
      <c r="D242" s="21"/>
      <c r="E242" s="1">
        <f>E104+E218+E229+E240+E234</f>
        <v>139046598.07999998</v>
      </c>
      <c r="F242" s="1">
        <f>F104+F218+F229+F240+F234</f>
        <v>40073840</v>
      </c>
      <c r="G242" s="1">
        <f>G104+G218+G229+G240+G234</f>
        <v>98972758.079999983</v>
      </c>
    </row>
    <row r="243" spans="1:7" ht="12.75" customHeight="1" x14ac:dyDescent="0.2">
      <c r="A243" s="47" t="s">
        <v>119</v>
      </c>
      <c r="B243" s="47"/>
      <c r="C243" s="47"/>
      <c r="D243" s="21"/>
      <c r="E243" s="1">
        <f>F243+G243</f>
        <v>1447021.67</v>
      </c>
      <c r="F243" s="1">
        <v>0</v>
      </c>
      <c r="G243" s="1">
        <f>G230+G219+G105+G241+G235</f>
        <v>1447021.67</v>
      </c>
    </row>
  </sheetData>
  <mergeCells count="82">
    <mergeCell ref="E1:G1"/>
    <mergeCell ref="E8:G8"/>
    <mergeCell ref="A11:A12"/>
    <mergeCell ref="B11:B12"/>
    <mergeCell ref="C11:C12"/>
    <mergeCell ref="D11:D12"/>
    <mergeCell ref="E11:E12"/>
    <mergeCell ref="F11:G11"/>
    <mergeCell ref="A9:G9"/>
    <mergeCell ref="B105:D105"/>
    <mergeCell ref="B60:B63"/>
    <mergeCell ref="B64:B70"/>
    <mergeCell ref="C69:C70"/>
    <mergeCell ref="B71:B72"/>
    <mergeCell ref="B74:B78"/>
    <mergeCell ref="B101:B103"/>
    <mergeCell ref="B86:B87"/>
    <mergeCell ref="B54:B58"/>
    <mergeCell ref="B95:B96"/>
    <mergeCell ref="B88:B91"/>
    <mergeCell ref="B99:B100"/>
    <mergeCell ref="B79:B80"/>
    <mergeCell ref="B180:B182"/>
    <mergeCell ref="D180:D182"/>
    <mergeCell ref="B104:C104"/>
    <mergeCell ref="A106:A219"/>
    <mergeCell ref="B111:B113"/>
    <mergeCell ref="B121:B135"/>
    <mergeCell ref="B136:B139"/>
    <mergeCell ref="B141:B144"/>
    <mergeCell ref="B145:B148"/>
    <mergeCell ref="B149:B158"/>
    <mergeCell ref="D149:D158"/>
    <mergeCell ref="A13:A105"/>
    <mergeCell ref="B13:B17"/>
    <mergeCell ref="B24:B28"/>
    <mergeCell ref="B191:B192"/>
    <mergeCell ref="B44:B51"/>
    <mergeCell ref="B193:B198"/>
    <mergeCell ref="D193:D198"/>
    <mergeCell ref="B183:B184"/>
    <mergeCell ref="D183:D184"/>
    <mergeCell ref="B185:B187"/>
    <mergeCell ref="D185:D187"/>
    <mergeCell ref="A242:C242"/>
    <mergeCell ref="A243:C243"/>
    <mergeCell ref="B106:B110"/>
    <mergeCell ref="A231:A241"/>
    <mergeCell ref="B231:B232"/>
    <mergeCell ref="C231:C232"/>
    <mergeCell ref="B234:C234"/>
    <mergeCell ref="B235:D235"/>
    <mergeCell ref="B240:C240"/>
    <mergeCell ref="B241:D241"/>
    <mergeCell ref="A220:A230"/>
    <mergeCell ref="B220:B223"/>
    <mergeCell ref="D220:D223"/>
    <mergeCell ref="B225:B226"/>
    <mergeCell ref="B229:C229"/>
    <mergeCell ref="D191:D192"/>
    <mergeCell ref="B18:B19"/>
    <mergeCell ref="B30:B33"/>
    <mergeCell ref="B34:B36"/>
    <mergeCell ref="B37:B40"/>
    <mergeCell ref="B41:B43"/>
    <mergeCell ref="B20:B23"/>
    <mergeCell ref="B236:B239"/>
    <mergeCell ref="B114:B116"/>
    <mergeCell ref="B117:B120"/>
    <mergeCell ref="B159:B172"/>
    <mergeCell ref="D159:D172"/>
    <mergeCell ref="B173:B179"/>
    <mergeCell ref="D173:D179"/>
    <mergeCell ref="B230:D230"/>
    <mergeCell ref="B199:B201"/>
    <mergeCell ref="D199:D201"/>
    <mergeCell ref="B218:C218"/>
    <mergeCell ref="B219:D219"/>
    <mergeCell ref="B202:B217"/>
    <mergeCell ref="D202:D217"/>
    <mergeCell ref="B188:B190"/>
    <mergeCell ref="D188:D190"/>
  </mergeCells>
  <pageMargins left="0.70866141732283472" right="0.23622047244094491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H7" sqref="H7"/>
    </sheetView>
  </sheetViews>
  <sheetFormatPr defaultColWidth="9.140625" defaultRowHeight="12.75" x14ac:dyDescent="0.2"/>
  <cols>
    <col min="1" max="1" width="16.42578125" style="15" customWidth="1"/>
    <col min="2" max="2" width="19.28515625" style="15" customWidth="1"/>
    <col min="3" max="3" width="19.42578125" style="15" customWidth="1"/>
    <col min="4" max="4" width="19.85546875" style="15" customWidth="1"/>
    <col min="5" max="5" width="14.85546875" style="15" customWidth="1"/>
    <col min="6" max="6" width="12.5703125" style="15" customWidth="1"/>
    <col min="7" max="7" width="17.7109375" style="15" customWidth="1"/>
    <col min="8" max="8" width="14.42578125" style="15" customWidth="1"/>
    <col min="9" max="16384" width="9.140625" style="15"/>
  </cols>
  <sheetData>
    <row r="1" spans="1:11" s="10" customFormat="1" ht="20.25" customHeight="1" x14ac:dyDescent="0.2">
      <c r="A1" s="9"/>
      <c r="B1" s="24"/>
      <c r="C1" s="11"/>
      <c r="D1" s="12"/>
      <c r="F1" s="43" t="s">
        <v>290</v>
      </c>
      <c r="G1" s="27"/>
      <c r="H1" s="13"/>
      <c r="I1" s="13"/>
      <c r="J1" s="13"/>
      <c r="K1" s="13"/>
    </row>
    <row r="2" spans="1:11" s="10" customFormat="1" ht="20.25" customHeight="1" x14ac:dyDescent="0.2">
      <c r="A2" s="9"/>
      <c r="B2" s="24"/>
      <c r="C2" s="11"/>
      <c r="D2" s="12"/>
      <c r="F2" s="43" t="s">
        <v>230</v>
      </c>
      <c r="G2" s="27"/>
      <c r="H2" s="13"/>
      <c r="I2" s="13"/>
      <c r="J2" s="13"/>
      <c r="K2" s="13"/>
    </row>
    <row r="3" spans="1:11" s="10" customFormat="1" ht="18" customHeight="1" x14ac:dyDescent="0.2">
      <c r="A3" s="9"/>
      <c r="B3" s="24"/>
      <c r="C3" s="11"/>
      <c r="D3" s="12"/>
      <c r="F3" s="43" t="s">
        <v>231</v>
      </c>
      <c r="G3" s="27"/>
      <c r="H3" s="13"/>
      <c r="I3" s="13"/>
      <c r="J3" s="13"/>
      <c r="K3" s="13"/>
    </row>
    <row r="4" spans="1:11" s="10" customFormat="1" ht="22.5" customHeight="1" x14ac:dyDescent="0.2">
      <c r="A4" s="9"/>
      <c r="B4" s="24"/>
      <c r="C4" s="11"/>
      <c r="D4" s="12"/>
      <c r="F4" s="43" t="s">
        <v>232</v>
      </c>
      <c r="G4" s="27"/>
      <c r="H4" s="13"/>
      <c r="I4" s="13"/>
      <c r="J4" s="13"/>
      <c r="K4" s="13"/>
    </row>
    <row r="5" spans="1:11" s="10" customFormat="1" ht="21.75" customHeight="1" x14ac:dyDescent="0.2">
      <c r="A5" s="9"/>
      <c r="B5" s="24"/>
      <c r="C5" s="11"/>
      <c r="D5" s="12"/>
      <c r="F5" s="43" t="s">
        <v>300</v>
      </c>
      <c r="G5" s="27"/>
      <c r="H5" s="13"/>
      <c r="I5" s="13"/>
      <c r="J5" s="13"/>
      <c r="K5" s="13"/>
    </row>
    <row r="6" spans="1:11" x14ac:dyDescent="0.2">
      <c r="A6" s="14"/>
      <c r="C6" s="16"/>
      <c r="D6" s="16"/>
      <c r="E6" s="16"/>
      <c r="F6" s="16"/>
    </row>
    <row r="7" spans="1:11" ht="73.5" customHeight="1" x14ac:dyDescent="0.3">
      <c r="A7" s="64" t="s">
        <v>291</v>
      </c>
      <c r="B7" s="64"/>
      <c r="C7" s="64"/>
      <c r="D7" s="64"/>
      <c r="E7" s="64"/>
      <c r="F7" s="64"/>
      <c r="G7" s="64"/>
    </row>
    <row r="8" spans="1:11" ht="18" customHeight="1" x14ac:dyDescent="0.2">
      <c r="A8" s="14"/>
      <c r="C8" s="16"/>
      <c r="D8" s="16"/>
      <c r="E8" s="16"/>
      <c r="F8" s="16"/>
      <c r="G8" s="32" t="s">
        <v>229</v>
      </c>
    </row>
    <row r="9" spans="1:11" x14ac:dyDescent="0.2">
      <c r="A9" s="58" t="s">
        <v>1</v>
      </c>
      <c r="B9" s="58" t="s">
        <v>2</v>
      </c>
      <c r="C9" s="58" t="s">
        <v>3</v>
      </c>
      <c r="D9" s="58" t="s">
        <v>98</v>
      </c>
      <c r="E9" s="60" t="s">
        <v>4</v>
      </c>
      <c r="F9" s="62" t="s">
        <v>5</v>
      </c>
      <c r="G9" s="63"/>
    </row>
    <row r="10" spans="1:11" ht="38.25" x14ac:dyDescent="0.2">
      <c r="A10" s="59"/>
      <c r="B10" s="59"/>
      <c r="C10" s="59"/>
      <c r="D10" s="59"/>
      <c r="E10" s="61"/>
      <c r="F10" s="18" t="s">
        <v>18</v>
      </c>
      <c r="G10" s="18" t="s">
        <v>6</v>
      </c>
    </row>
    <row r="11" spans="1:11" ht="38.25" customHeight="1" x14ac:dyDescent="0.2">
      <c r="A11" s="46" t="s">
        <v>110</v>
      </c>
      <c r="B11" s="7" t="s">
        <v>27</v>
      </c>
      <c r="C11" s="20" t="s">
        <v>28</v>
      </c>
      <c r="D11" s="46" t="s">
        <v>298</v>
      </c>
      <c r="E11" s="3">
        <f>F11+G11</f>
        <v>275900</v>
      </c>
      <c r="F11" s="3">
        <v>0</v>
      </c>
      <c r="G11" s="4">
        <v>275900</v>
      </c>
    </row>
    <row r="12" spans="1:11" ht="38.25" x14ac:dyDescent="0.2">
      <c r="A12" s="46"/>
      <c r="B12" s="8" t="s">
        <v>99</v>
      </c>
      <c r="C12" s="8" t="s">
        <v>111</v>
      </c>
      <c r="D12" s="46"/>
      <c r="E12" s="3">
        <f t="shared" ref="E12:E65" si="0">F12+G12</f>
        <v>40000</v>
      </c>
      <c r="F12" s="3">
        <v>0</v>
      </c>
      <c r="G12" s="37">
        <v>40000</v>
      </c>
    </row>
    <row r="13" spans="1:11" ht="25.5" x14ac:dyDescent="0.2">
      <c r="A13" s="46"/>
      <c r="B13" s="8" t="s">
        <v>43</v>
      </c>
      <c r="C13" s="8" t="s">
        <v>101</v>
      </c>
      <c r="D13" s="46"/>
      <c r="E13" s="3">
        <f t="shared" si="0"/>
        <v>22000</v>
      </c>
      <c r="F13" s="3">
        <v>0</v>
      </c>
      <c r="G13" s="37">
        <v>22000</v>
      </c>
    </row>
    <row r="14" spans="1:11" ht="25.5" x14ac:dyDescent="0.2">
      <c r="A14" s="46"/>
      <c r="B14" s="8" t="s">
        <v>45</v>
      </c>
      <c r="C14" s="8" t="s">
        <v>191</v>
      </c>
      <c r="D14" s="46"/>
      <c r="E14" s="3">
        <f t="shared" si="0"/>
        <v>130270</v>
      </c>
      <c r="F14" s="3">
        <v>0</v>
      </c>
      <c r="G14" s="37">
        <f>95836+34434</f>
        <v>130270</v>
      </c>
    </row>
    <row r="15" spans="1:11" ht="25.5" customHeight="1" x14ac:dyDescent="0.2">
      <c r="A15" s="46"/>
      <c r="B15" s="57" t="s">
        <v>55</v>
      </c>
      <c r="C15" s="5" t="s">
        <v>150</v>
      </c>
      <c r="D15" s="46"/>
      <c r="E15" s="3">
        <f t="shared" si="0"/>
        <v>363032</v>
      </c>
      <c r="F15" s="3">
        <v>0</v>
      </c>
      <c r="G15" s="37">
        <v>363032</v>
      </c>
    </row>
    <row r="16" spans="1:11" x14ac:dyDescent="0.2">
      <c r="A16" s="46"/>
      <c r="B16" s="57"/>
      <c r="C16" s="5" t="s">
        <v>151</v>
      </c>
      <c r="D16" s="46"/>
      <c r="E16" s="3">
        <f t="shared" si="0"/>
        <v>236500</v>
      </c>
      <c r="F16" s="3">
        <v>0</v>
      </c>
      <c r="G16" s="37">
        <f>127701.86-20648.5+129446.64</f>
        <v>236500</v>
      </c>
    </row>
    <row r="17" spans="1:8" ht="25.5" customHeight="1" x14ac:dyDescent="0.2">
      <c r="A17" s="46"/>
      <c r="B17" s="57" t="s">
        <v>152</v>
      </c>
      <c r="C17" s="5" t="s">
        <v>150</v>
      </c>
      <c r="D17" s="46"/>
      <c r="E17" s="3">
        <f t="shared" si="0"/>
        <v>204426</v>
      </c>
      <c r="F17" s="3">
        <v>0</v>
      </c>
      <c r="G17" s="37">
        <f>215192.24-10766.24</f>
        <v>204426</v>
      </c>
    </row>
    <row r="18" spans="1:8" x14ac:dyDescent="0.2">
      <c r="A18" s="46"/>
      <c r="B18" s="57"/>
      <c r="C18" s="5" t="s">
        <v>151</v>
      </c>
      <c r="D18" s="46"/>
      <c r="E18" s="3">
        <f t="shared" si="0"/>
        <v>258000</v>
      </c>
      <c r="F18" s="3">
        <v>0</v>
      </c>
      <c r="G18" s="37">
        <f>127701.86-20648.5+150946.64</f>
        <v>258000</v>
      </c>
    </row>
    <row r="19" spans="1:8" ht="51" x14ac:dyDescent="0.2">
      <c r="A19" s="46"/>
      <c r="B19" s="57" t="s">
        <v>62</v>
      </c>
      <c r="C19" s="8" t="s">
        <v>292</v>
      </c>
      <c r="D19" s="46"/>
      <c r="E19" s="3">
        <f t="shared" si="0"/>
        <v>319577</v>
      </c>
      <c r="F19" s="3">
        <v>0</v>
      </c>
      <c r="G19" s="37">
        <f>271033+41816+6728</f>
        <v>319577</v>
      </c>
    </row>
    <row r="20" spans="1:8" ht="63.75" x14ac:dyDescent="0.2">
      <c r="A20" s="46"/>
      <c r="B20" s="57"/>
      <c r="C20" s="8" t="s">
        <v>293</v>
      </c>
      <c r="D20" s="46"/>
      <c r="E20" s="3">
        <f>F20+G20</f>
        <v>448184</v>
      </c>
      <c r="F20" s="3">
        <v>0</v>
      </c>
      <c r="G20" s="37">
        <f>490000-41816</f>
        <v>448184</v>
      </c>
    </row>
    <row r="21" spans="1:8" ht="25.5" x14ac:dyDescent="0.2">
      <c r="A21" s="46"/>
      <c r="B21" s="57"/>
      <c r="C21" s="8" t="s">
        <v>103</v>
      </c>
      <c r="D21" s="46"/>
      <c r="E21" s="3">
        <f>F21+G21</f>
        <v>112778</v>
      </c>
      <c r="F21" s="3">
        <v>0</v>
      </c>
      <c r="G21" s="37">
        <v>112778</v>
      </c>
    </row>
    <row r="22" spans="1:8" ht="51" x14ac:dyDescent="0.2">
      <c r="A22" s="46"/>
      <c r="B22" s="8" t="s">
        <v>91</v>
      </c>
      <c r="C22" s="8" t="s">
        <v>124</v>
      </c>
      <c r="D22" s="46"/>
      <c r="E22" s="3">
        <f>F22+G22</f>
        <v>162000.00000000003</v>
      </c>
      <c r="F22" s="3">
        <v>0</v>
      </c>
      <c r="G22" s="37">
        <f>262730.4-100730.4</f>
        <v>162000.00000000003</v>
      </c>
    </row>
    <row r="23" spans="1:8" ht="25.5" x14ac:dyDescent="0.2">
      <c r="A23" s="46"/>
      <c r="B23" s="57" t="s">
        <v>65</v>
      </c>
      <c r="C23" s="8" t="s">
        <v>103</v>
      </c>
      <c r="D23" s="46"/>
      <c r="E23" s="3">
        <f t="shared" si="0"/>
        <v>206615</v>
      </c>
      <c r="F23" s="3">
        <v>0</v>
      </c>
      <c r="G23" s="37">
        <f>378138-169818-1705</f>
        <v>206615</v>
      </c>
    </row>
    <row r="24" spans="1:8" ht="25.5" x14ac:dyDescent="0.2">
      <c r="A24" s="46"/>
      <c r="B24" s="57"/>
      <c r="C24" s="8" t="s">
        <v>104</v>
      </c>
      <c r="D24" s="46"/>
      <c r="E24" s="3">
        <f t="shared" si="0"/>
        <v>590000</v>
      </c>
      <c r="F24" s="3">
        <v>0</v>
      </c>
      <c r="G24" s="37">
        <v>590000</v>
      </c>
    </row>
    <row r="25" spans="1:8" ht="25.5" x14ac:dyDescent="0.2">
      <c r="A25" s="46"/>
      <c r="B25" s="8" t="s">
        <v>67</v>
      </c>
      <c r="C25" s="8" t="s">
        <v>104</v>
      </c>
      <c r="D25" s="46"/>
      <c r="E25" s="3">
        <f>F25+G25</f>
        <v>290000</v>
      </c>
      <c r="F25" s="3">
        <v>0</v>
      </c>
      <c r="G25" s="37">
        <f>750000-460000</f>
        <v>290000</v>
      </c>
    </row>
    <row r="26" spans="1:8" x14ac:dyDescent="0.2">
      <c r="A26" s="46"/>
      <c r="B26" s="57" t="s">
        <v>108</v>
      </c>
      <c r="C26" s="8" t="s">
        <v>101</v>
      </c>
      <c r="D26" s="46"/>
      <c r="E26" s="3">
        <f t="shared" ref="E26:E31" si="1">F26+G26</f>
        <v>80542.8</v>
      </c>
      <c r="F26" s="3">
        <v>0</v>
      </c>
      <c r="G26" s="37">
        <f>88412.1-7869.3</f>
        <v>80542.8</v>
      </c>
    </row>
    <row r="27" spans="1:8" ht="38.25" x14ac:dyDescent="0.2">
      <c r="A27" s="46"/>
      <c r="B27" s="57"/>
      <c r="C27" s="8" t="s">
        <v>158</v>
      </c>
      <c r="D27" s="46"/>
      <c r="E27" s="3">
        <f t="shared" si="1"/>
        <v>464326.17</v>
      </c>
      <c r="F27" s="3">
        <v>0</v>
      </c>
      <c r="G27" s="37">
        <f>580800-110800-5673.83</f>
        <v>464326.17</v>
      </c>
      <c r="H27" s="33"/>
    </row>
    <row r="28" spans="1:8" ht="17.25" customHeight="1" x14ac:dyDescent="0.2">
      <c r="A28" s="46"/>
      <c r="B28" s="57"/>
      <c r="C28" s="8" t="s">
        <v>188</v>
      </c>
      <c r="D28" s="46"/>
      <c r="E28" s="3">
        <f t="shared" si="1"/>
        <v>399547.16</v>
      </c>
      <c r="F28" s="3">
        <v>0</v>
      </c>
      <c r="G28" s="37">
        <v>399547.16</v>
      </c>
      <c r="H28" s="33"/>
    </row>
    <row r="29" spans="1:8" ht="25.5" x14ac:dyDescent="0.2">
      <c r="A29" s="46"/>
      <c r="B29" s="57"/>
      <c r="C29" s="8" t="s">
        <v>103</v>
      </c>
      <c r="D29" s="46"/>
      <c r="E29" s="3">
        <f t="shared" si="1"/>
        <v>59760</v>
      </c>
      <c r="F29" s="3">
        <v>0</v>
      </c>
      <c r="G29" s="38">
        <v>59760</v>
      </c>
      <c r="H29" s="33"/>
    </row>
    <row r="30" spans="1:8" ht="25.5" x14ac:dyDescent="0.2">
      <c r="A30" s="46"/>
      <c r="B30" s="57" t="s">
        <v>9</v>
      </c>
      <c r="C30" s="8" t="s">
        <v>104</v>
      </c>
      <c r="D30" s="46"/>
      <c r="E30" s="3">
        <f t="shared" si="1"/>
        <v>280000</v>
      </c>
      <c r="F30" s="3">
        <v>0</v>
      </c>
      <c r="G30" s="37">
        <f>280286.67-286.67</f>
        <v>280000</v>
      </c>
    </row>
    <row r="31" spans="1:8" ht="25.5" x14ac:dyDescent="0.2">
      <c r="A31" s="46"/>
      <c r="B31" s="57"/>
      <c r="C31" s="8" t="s">
        <v>103</v>
      </c>
      <c r="D31" s="46"/>
      <c r="E31" s="3">
        <f t="shared" si="1"/>
        <v>72974</v>
      </c>
      <c r="F31" s="3">
        <v>0</v>
      </c>
      <c r="G31" s="38">
        <v>72974</v>
      </c>
    </row>
    <row r="32" spans="1:8" ht="25.5" x14ac:dyDescent="0.2">
      <c r="A32" s="46"/>
      <c r="B32" s="57" t="s">
        <v>93</v>
      </c>
      <c r="C32" s="8" t="s">
        <v>104</v>
      </c>
      <c r="D32" s="46"/>
      <c r="E32" s="3">
        <f t="shared" si="0"/>
        <v>825284.99666666694</v>
      </c>
      <c r="F32" s="3">
        <v>0</v>
      </c>
      <c r="G32" s="37">
        <f>826666.666666667-1381.67</f>
        <v>825284.99666666694</v>
      </c>
    </row>
    <row r="33" spans="1:7" ht="25.5" x14ac:dyDescent="0.2">
      <c r="A33" s="46"/>
      <c r="B33" s="57"/>
      <c r="C33" s="8" t="s">
        <v>103</v>
      </c>
      <c r="D33" s="46"/>
      <c r="E33" s="3">
        <f t="shared" si="0"/>
        <v>84500</v>
      </c>
      <c r="F33" s="3">
        <v>0</v>
      </c>
      <c r="G33" s="39">
        <v>84500</v>
      </c>
    </row>
    <row r="34" spans="1:7" ht="25.5" x14ac:dyDescent="0.2">
      <c r="A34" s="46"/>
      <c r="B34" s="8" t="s">
        <v>70</v>
      </c>
      <c r="C34" s="8" t="s">
        <v>104</v>
      </c>
      <c r="D34" s="46"/>
      <c r="E34" s="3">
        <f t="shared" si="0"/>
        <v>150000</v>
      </c>
      <c r="F34" s="3">
        <v>0</v>
      </c>
      <c r="G34" s="37">
        <f>196000-46000</f>
        <v>150000</v>
      </c>
    </row>
    <row r="35" spans="1:7" ht="25.5" x14ac:dyDescent="0.2">
      <c r="A35" s="46"/>
      <c r="B35" s="7" t="s">
        <v>190</v>
      </c>
      <c r="C35" s="8" t="s">
        <v>189</v>
      </c>
      <c r="D35" s="46"/>
      <c r="E35" s="3">
        <f t="shared" si="0"/>
        <v>150923.5</v>
      </c>
      <c r="F35" s="3">
        <v>0</v>
      </c>
      <c r="G35" s="37">
        <v>150923.5</v>
      </c>
    </row>
    <row r="36" spans="1:7" ht="38.25" x14ac:dyDescent="0.2">
      <c r="A36" s="46"/>
      <c r="B36" s="54" t="s">
        <v>72</v>
      </c>
      <c r="C36" s="8" t="s">
        <v>116</v>
      </c>
      <c r="D36" s="46"/>
      <c r="E36" s="3">
        <f t="shared" si="0"/>
        <v>770000</v>
      </c>
      <c r="F36" s="3">
        <v>0</v>
      </c>
      <c r="G36" s="37">
        <f>1323218-553218</f>
        <v>770000</v>
      </c>
    </row>
    <row r="37" spans="1:7" ht="25.5" x14ac:dyDescent="0.2">
      <c r="A37" s="46"/>
      <c r="B37" s="56"/>
      <c r="C37" s="8" t="s">
        <v>189</v>
      </c>
      <c r="D37" s="46"/>
      <c r="E37" s="3">
        <f t="shared" si="0"/>
        <v>68140</v>
      </c>
      <c r="F37" s="3">
        <v>0</v>
      </c>
      <c r="G37" s="37">
        <v>68140</v>
      </c>
    </row>
    <row r="38" spans="1:7" ht="38.25" x14ac:dyDescent="0.2">
      <c r="A38" s="46"/>
      <c r="B38" s="54" t="s">
        <v>105</v>
      </c>
      <c r="C38" s="8" t="s">
        <v>106</v>
      </c>
      <c r="D38" s="46"/>
      <c r="E38" s="3">
        <f t="shared" si="0"/>
        <v>264000</v>
      </c>
      <c r="F38" s="3">
        <v>0</v>
      </c>
      <c r="G38" s="37">
        <f>264130-130</f>
        <v>264000</v>
      </c>
    </row>
    <row r="39" spans="1:7" ht="63.75" x14ac:dyDescent="0.2">
      <c r="A39" s="46"/>
      <c r="B39" s="55"/>
      <c r="C39" s="8" t="s">
        <v>294</v>
      </c>
      <c r="D39" s="46"/>
      <c r="E39" s="3">
        <f t="shared" si="0"/>
        <v>99000</v>
      </c>
      <c r="F39" s="3">
        <v>0</v>
      </c>
      <c r="G39" s="37">
        <v>99000</v>
      </c>
    </row>
    <row r="40" spans="1:7" ht="25.5" x14ac:dyDescent="0.2">
      <c r="A40" s="46"/>
      <c r="B40" s="55"/>
      <c r="C40" s="8" t="s">
        <v>189</v>
      </c>
      <c r="D40" s="46"/>
      <c r="E40" s="3">
        <f t="shared" si="0"/>
        <v>439322</v>
      </c>
      <c r="F40" s="3">
        <v>0</v>
      </c>
      <c r="G40" s="37">
        <f>417278+55044-33000</f>
        <v>439322</v>
      </c>
    </row>
    <row r="41" spans="1:7" ht="38.25" x14ac:dyDescent="0.2">
      <c r="A41" s="46"/>
      <c r="B41" s="56"/>
      <c r="C41" s="8" t="s">
        <v>220</v>
      </c>
      <c r="D41" s="46"/>
      <c r="E41" s="3">
        <f t="shared" si="0"/>
        <v>84000</v>
      </c>
      <c r="F41" s="3">
        <v>0</v>
      </c>
      <c r="G41" s="37">
        <f>95541-11541</f>
        <v>84000</v>
      </c>
    </row>
    <row r="42" spans="1:7" ht="25.5" x14ac:dyDescent="0.2">
      <c r="A42" s="46"/>
      <c r="B42" s="57" t="s">
        <v>94</v>
      </c>
      <c r="C42" s="8" t="s">
        <v>104</v>
      </c>
      <c r="D42" s="46"/>
      <c r="E42" s="3">
        <f t="shared" si="0"/>
        <v>159000</v>
      </c>
      <c r="F42" s="3">
        <v>0</v>
      </c>
      <c r="G42" s="37">
        <f>224694.27-65694.27</f>
        <v>159000</v>
      </c>
    </row>
    <row r="43" spans="1:7" ht="25.5" x14ac:dyDescent="0.2">
      <c r="A43" s="46"/>
      <c r="B43" s="57"/>
      <c r="C43" s="8" t="s">
        <v>189</v>
      </c>
      <c r="D43" s="46"/>
      <c r="E43" s="3">
        <f t="shared" si="0"/>
        <v>82550</v>
      </c>
      <c r="F43" s="3">
        <v>0</v>
      </c>
      <c r="G43" s="39">
        <v>82550</v>
      </c>
    </row>
    <row r="44" spans="1:7" ht="25.5" x14ac:dyDescent="0.2">
      <c r="A44" s="46"/>
      <c r="B44" s="57" t="s">
        <v>86</v>
      </c>
      <c r="C44" s="8" t="s">
        <v>104</v>
      </c>
      <c r="D44" s="46"/>
      <c r="E44" s="3">
        <f t="shared" si="0"/>
        <v>1503488</v>
      </c>
      <c r="F44" s="3">
        <v>0</v>
      </c>
      <c r="G44" s="37">
        <v>1503488</v>
      </c>
    </row>
    <row r="45" spans="1:7" ht="25.5" x14ac:dyDescent="0.2">
      <c r="A45" s="46"/>
      <c r="B45" s="57"/>
      <c r="C45" s="8" t="s">
        <v>189</v>
      </c>
      <c r="D45" s="46"/>
      <c r="E45" s="3">
        <f t="shared" si="0"/>
        <v>432320</v>
      </c>
      <c r="F45" s="3">
        <v>0</v>
      </c>
      <c r="G45" s="37">
        <v>432320</v>
      </c>
    </row>
    <row r="46" spans="1:7" ht="25.5" x14ac:dyDescent="0.2">
      <c r="A46" s="46"/>
      <c r="B46" s="57" t="s">
        <v>74</v>
      </c>
      <c r="C46" s="8" t="s">
        <v>104</v>
      </c>
      <c r="D46" s="46"/>
      <c r="E46" s="3">
        <f t="shared" si="0"/>
        <v>205596.6</v>
      </c>
      <c r="F46" s="3">
        <v>0</v>
      </c>
      <c r="G46" s="37">
        <v>205596.6</v>
      </c>
    </row>
    <row r="47" spans="1:7" ht="25.5" x14ac:dyDescent="0.2">
      <c r="A47" s="46"/>
      <c r="B47" s="57"/>
      <c r="C47" s="8" t="s">
        <v>189</v>
      </c>
      <c r="D47" s="46"/>
      <c r="E47" s="3">
        <f t="shared" si="0"/>
        <v>118800</v>
      </c>
      <c r="F47" s="3">
        <v>0</v>
      </c>
      <c r="G47" s="39">
        <v>118800</v>
      </c>
    </row>
    <row r="48" spans="1:7" ht="25.5" x14ac:dyDescent="0.2">
      <c r="A48" s="46"/>
      <c r="B48" s="57" t="s">
        <v>11</v>
      </c>
      <c r="C48" s="8" t="s">
        <v>104</v>
      </c>
      <c r="D48" s="46"/>
      <c r="E48" s="3">
        <f t="shared" si="0"/>
        <v>280286.67</v>
      </c>
      <c r="F48" s="3">
        <v>0</v>
      </c>
      <c r="G48" s="37">
        <v>280286.67</v>
      </c>
    </row>
    <row r="49" spans="1:7" ht="25.5" x14ac:dyDescent="0.2">
      <c r="A49" s="46"/>
      <c r="B49" s="57"/>
      <c r="C49" s="8" t="s">
        <v>159</v>
      </c>
      <c r="D49" s="46"/>
      <c r="E49" s="3">
        <f t="shared" si="0"/>
        <v>616836</v>
      </c>
      <c r="F49" s="3">
        <v>0</v>
      </c>
      <c r="G49" s="37">
        <f>616900-64</f>
        <v>616836</v>
      </c>
    </row>
    <row r="50" spans="1:7" ht="25.5" x14ac:dyDescent="0.2">
      <c r="A50" s="46"/>
      <c r="B50" s="57"/>
      <c r="C50" s="8" t="s">
        <v>189</v>
      </c>
      <c r="D50" s="46"/>
      <c r="E50" s="3">
        <f t="shared" si="0"/>
        <v>242250</v>
      </c>
      <c r="F50" s="3">
        <v>0</v>
      </c>
      <c r="G50" s="37">
        <v>242250</v>
      </c>
    </row>
    <row r="51" spans="1:7" ht="25.5" x14ac:dyDescent="0.2">
      <c r="A51" s="46"/>
      <c r="B51" s="57" t="s">
        <v>95</v>
      </c>
      <c r="C51" s="8" t="s">
        <v>104</v>
      </c>
      <c r="D51" s="46"/>
      <c r="E51" s="3">
        <f t="shared" si="0"/>
        <v>312000</v>
      </c>
      <c r="F51" s="3">
        <v>0</v>
      </c>
      <c r="G51" s="37">
        <f>380000-68000</f>
        <v>312000</v>
      </c>
    </row>
    <row r="52" spans="1:7" ht="25.5" x14ac:dyDescent="0.2">
      <c r="A52" s="46"/>
      <c r="B52" s="57"/>
      <c r="C52" s="8" t="s">
        <v>189</v>
      </c>
      <c r="D52" s="46"/>
      <c r="E52" s="3">
        <f t="shared" si="0"/>
        <v>77700</v>
      </c>
      <c r="F52" s="3">
        <v>0</v>
      </c>
      <c r="G52" s="39">
        <f>84175-6475</f>
        <v>77700</v>
      </c>
    </row>
    <row r="53" spans="1:7" ht="25.5" x14ac:dyDescent="0.2">
      <c r="A53" s="46"/>
      <c r="B53" s="8" t="s">
        <v>75</v>
      </c>
      <c r="C53" s="8" t="s">
        <v>104</v>
      </c>
      <c r="D53" s="46"/>
      <c r="E53" s="3">
        <f t="shared" si="0"/>
        <v>190000</v>
      </c>
      <c r="F53" s="3">
        <v>0</v>
      </c>
      <c r="G53" s="37">
        <v>190000</v>
      </c>
    </row>
    <row r="54" spans="1:7" ht="51" x14ac:dyDescent="0.2">
      <c r="A54" s="46"/>
      <c r="B54" s="57" t="s">
        <v>76</v>
      </c>
      <c r="C54" s="8" t="s">
        <v>109</v>
      </c>
      <c r="D54" s="46"/>
      <c r="E54" s="3">
        <f t="shared" si="0"/>
        <v>153575.32999999999</v>
      </c>
      <c r="F54" s="3">
        <v>0</v>
      </c>
      <c r="G54" s="37">
        <f>160000-6424.67</f>
        <v>153575.32999999999</v>
      </c>
    </row>
    <row r="55" spans="1:7" ht="25.5" x14ac:dyDescent="0.2">
      <c r="A55" s="46"/>
      <c r="B55" s="57"/>
      <c r="C55" s="8" t="s">
        <v>189</v>
      </c>
      <c r="D55" s="46"/>
      <c r="E55" s="3">
        <f t="shared" si="0"/>
        <v>68040</v>
      </c>
      <c r="F55" s="3">
        <v>0</v>
      </c>
      <c r="G55" s="39">
        <v>68040</v>
      </c>
    </row>
    <row r="56" spans="1:7" ht="51" x14ac:dyDescent="0.2">
      <c r="A56" s="46"/>
      <c r="B56" s="57"/>
      <c r="C56" s="7" t="s">
        <v>192</v>
      </c>
      <c r="D56" s="46"/>
      <c r="E56" s="3">
        <f t="shared" si="0"/>
        <v>289710</v>
      </c>
      <c r="F56" s="3">
        <v>0</v>
      </c>
      <c r="G56" s="39">
        <f>289772.8-62.8</f>
        <v>289710</v>
      </c>
    </row>
    <row r="57" spans="1:7" ht="51" x14ac:dyDescent="0.2">
      <c r="A57" s="46"/>
      <c r="B57" s="57"/>
      <c r="C57" s="7" t="s">
        <v>193</v>
      </c>
      <c r="D57" s="46"/>
      <c r="E57" s="3">
        <f t="shared" si="0"/>
        <v>63000</v>
      </c>
      <c r="F57" s="3">
        <v>0</v>
      </c>
      <c r="G57" s="39">
        <v>63000</v>
      </c>
    </row>
    <row r="58" spans="1:7" ht="25.5" x14ac:dyDescent="0.2">
      <c r="A58" s="46"/>
      <c r="B58" s="54" t="s">
        <v>85</v>
      </c>
      <c r="C58" s="8" t="s">
        <v>104</v>
      </c>
      <c r="D58" s="46"/>
      <c r="E58" s="3">
        <f t="shared" si="0"/>
        <v>410000</v>
      </c>
      <c r="F58" s="3">
        <v>0</v>
      </c>
      <c r="G58" s="37">
        <f>464609-54609</f>
        <v>410000</v>
      </c>
    </row>
    <row r="59" spans="1:7" ht="38.25" x14ac:dyDescent="0.2">
      <c r="A59" s="46"/>
      <c r="B59" s="55"/>
      <c r="C59" s="8" t="s">
        <v>299</v>
      </c>
      <c r="D59" s="46"/>
      <c r="E59" s="3">
        <f t="shared" si="0"/>
        <v>38297</v>
      </c>
      <c r="F59" s="3">
        <v>0</v>
      </c>
      <c r="G59" s="39">
        <f>41297-3000</f>
        <v>38297</v>
      </c>
    </row>
    <row r="60" spans="1:7" ht="25.5" x14ac:dyDescent="0.2">
      <c r="A60" s="46"/>
      <c r="B60" s="55"/>
      <c r="C60" s="8" t="s">
        <v>189</v>
      </c>
      <c r="D60" s="46"/>
      <c r="E60" s="3">
        <f t="shared" si="0"/>
        <v>120900</v>
      </c>
      <c r="F60" s="3">
        <v>0</v>
      </c>
      <c r="G60" s="39">
        <v>120900</v>
      </c>
    </row>
    <row r="61" spans="1:7" ht="25.5" x14ac:dyDescent="0.2">
      <c r="A61" s="46"/>
      <c r="B61" s="56"/>
      <c r="C61" s="8" t="s">
        <v>222</v>
      </c>
      <c r="D61" s="46"/>
      <c r="E61" s="3">
        <f t="shared" si="0"/>
        <v>11541</v>
      </c>
      <c r="F61" s="3">
        <v>0</v>
      </c>
      <c r="G61" s="39">
        <v>11541</v>
      </c>
    </row>
    <row r="62" spans="1:7" ht="25.5" x14ac:dyDescent="0.2">
      <c r="A62" s="46"/>
      <c r="B62" s="57" t="s">
        <v>100</v>
      </c>
      <c r="C62" s="8" t="s">
        <v>102</v>
      </c>
      <c r="D62" s="46"/>
      <c r="E62" s="3">
        <f t="shared" si="0"/>
        <v>20893.2</v>
      </c>
      <c r="F62" s="3">
        <v>0</v>
      </c>
      <c r="G62" s="37">
        <v>20893.2</v>
      </c>
    </row>
    <row r="63" spans="1:7" ht="51" x14ac:dyDescent="0.2">
      <c r="A63" s="46"/>
      <c r="B63" s="57"/>
      <c r="C63" s="8" t="s">
        <v>107</v>
      </c>
      <c r="D63" s="46"/>
      <c r="E63" s="3">
        <f t="shared" si="0"/>
        <v>334243</v>
      </c>
      <c r="F63" s="3">
        <v>0</v>
      </c>
      <c r="G63" s="37">
        <f>470000-135757</f>
        <v>334243</v>
      </c>
    </row>
    <row r="64" spans="1:7" ht="25.5" x14ac:dyDescent="0.2">
      <c r="A64" s="46"/>
      <c r="B64" s="57"/>
      <c r="C64" s="7" t="s">
        <v>221</v>
      </c>
      <c r="D64" s="46"/>
      <c r="E64" s="3">
        <f t="shared" si="0"/>
        <v>7153</v>
      </c>
      <c r="F64" s="3">
        <v>0</v>
      </c>
      <c r="G64" s="37">
        <v>7153</v>
      </c>
    </row>
    <row r="65" spans="1:8" ht="25.5" x14ac:dyDescent="0.2">
      <c r="A65" s="46"/>
      <c r="B65" s="57"/>
      <c r="C65" s="8" t="s">
        <v>189</v>
      </c>
      <c r="D65" s="46"/>
      <c r="E65" s="3">
        <f t="shared" si="0"/>
        <v>156240</v>
      </c>
      <c r="F65" s="3">
        <v>0</v>
      </c>
      <c r="G65" s="39">
        <f>260000-103760</f>
        <v>156240</v>
      </c>
    </row>
    <row r="66" spans="1:8" ht="17.25" customHeight="1" x14ac:dyDescent="0.2">
      <c r="A66" s="46"/>
      <c r="B66" s="68" t="s">
        <v>160</v>
      </c>
      <c r="C66" s="68"/>
      <c r="D66" s="68"/>
      <c r="E66" s="3">
        <f>SUM(E11:E65)</f>
        <v>13846022.426666666</v>
      </c>
      <c r="F66" s="3">
        <f>SUM(F11:F65)</f>
        <v>0</v>
      </c>
      <c r="G66" s="3">
        <f>SUM(G11:G65)</f>
        <v>13846022.426666666</v>
      </c>
    </row>
    <row r="67" spans="1:8" ht="141" customHeight="1" x14ac:dyDescent="0.2">
      <c r="A67" s="46"/>
      <c r="B67" s="41" t="s">
        <v>20</v>
      </c>
      <c r="C67" s="26" t="s">
        <v>295</v>
      </c>
      <c r="D67" s="42" t="s">
        <v>297</v>
      </c>
      <c r="E67" s="4">
        <f>F67+G67</f>
        <v>2212400</v>
      </c>
      <c r="F67" s="4">
        <f>2900700-698300</f>
        <v>2202400</v>
      </c>
      <c r="G67" s="4">
        <v>10000</v>
      </c>
      <c r="H67" s="33"/>
    </row>
    <row r="68" spans="1:8" x14ac:dyDescent="0.2">
      <c r="A68" s="46"/>
      <c r="B68" s="69" t="s">
        <v>8</v>
      </c>
      <c r="C68" s="69"/>
      <c r="D68" s="69"/>
      <c r="E68" s="4">
        <f>SUM(E67)</f>
        <v>2212400</v>
      </c>
      <c r="F68" s="4">
        <f t="shared" ref="F68:G68" si="2">SUM(F67)</f>
        <v>2202400</v>
      </c>
      <c r="G68" s="4">
        <f t="shared" si="2"/>
        <v>10000</v>
      </c>
    </row>
    <row r="69" spans="1:8" ht="15" customHeight="1" x14ac:dyDescent="0.2">
      <c r="A69" s="46"/>
      <c r="B69" s="41" t="s">
        <v>21</v>
      </c>
      <c r="C69" s="73" t="s">
        <v>22</v>
      </c>
      <c r="D69" s="70" t="s">
        <v>296</v>
      </c>
      <c r="E69" s="4">
        <f t="shared" ref="E69:E70" si="3">F69+G69</f>
        <v>453375</v>
      </c>
      <c r="F69" s="4">
        <v>314615</v>
      </c>
      <c r="G69" s="4">
        <f>453375-F69</f>
        <v>138760</v>
      </c>
    </row>
    <row r="70" spans="1:8" ht="39" customHeight="1" x14ac:dyDescent="0.2">
      <c r="A70" s="46"/>
      <c r="B70" s="41" t="s">
        <v>23</v>
      </c>
      <c r="C70" s="73"/>
      <c r="D70" s="71"/>
      <c r="E70" s="4">
        <f t="shared" si="3"/>
        <v>777730</v>
      </c>
      <c r="F70" s="4">
        <v>539700</v>
      </c>
      <c r="G70" s="4">
        <f t="shared" ref="G70" si="4">777730-F70</f>
        <v>238030</v>
      </c>
    </row>
    <row r="71" spans="1:8" ht="37.5" customHeight="1" x14ac:dyDescent="0.2">
      <c r="A71" s="46"/>
      <c r="B71" s="41" t="s">
        <v>19</v>
      </c>
      <c r="C71" s="73"/>
      <c r="D71" s="72"/>
      <c r="E71" s="4">
        <f>F71+G71</f>
        <v>663740</v>
      </c>
      <c r="F71" s="4">
        <v>460596</v>
      </c>
      <c r="G71" s="4">
        <f>663740-F71</f>
        <v>203144</v>
      </c>
    </row>
    <row r="72" spans="1:8" x14ac:dyDescent="0.2">
      <c r="A72" s="46"/>
      <c r="B72" s="22" t="s">
        <v>24</v>
      </c>
      <c r="C72" s="5"/>
      <c r="D72" s="5"/>
      <c r="E72" s="40">
        <f>F72+G72</f>
        <v>438355</v>
      </c>
      <c r="F72" s="4">
        <f>1619100-1314911</f>
        <v>304189</v>
      </c>
      <c r="G72" s="4">
        <f>714100-579934</f>
        <v>134166</v>
      </c>
    </row>
    <row r="73" spans="1:8" x14ac:dyDescent="0.2">
      <c r="A73" s="34"/>
      <c r="B73" s="65" t="s">
        <v>8</v>
      </c>
      <c r="C73" s="66"/>
      <c r="D73" s="67"/>
      <c r="E73" s="40">
        <f>SUM(E69:E72)</f>
        <v>2333200</v>
      </c>
      <c r="F73" s="40">
        <f>SUM(F69:F72)</f>
        <v>1619100</v>
      </c>
      <c r="G73" s="40">
        <f>SUM(G69:G72)</f>
        <v>714100</v>
      </c>
    </row>
    <row r="74" spans="1:8" x14ac:dyDescent="0.2">
      <c r="A74" s="65" t="s">
        <v>8</v>
      </c>
      <c r="B74" s="66"/>
      <c r="C74" s="67"/>
      <c r="D74" s="35"/>
      <c r="E74" s="4">
        <f>E73+E68+E66</f>
        <v>18391622.426666666</v>
      </c>
      <c r="F74" s="4">
        <f t="shared" ref="F74:G74" si="5">F73+F68+F66</f>
        <v>3821500</v>
      </c>
      <c r="G74" s="4">
        <f t="shared" si="5"/>
        <v>14570122.426666666</v>
      </c>
    </row>
    <row r="76" spans="1:8" x14ac:dyDescent="0.2">
      <c r="E76" s="36"/>
      <c r="F76" s="36"/>
      <c r="G76" s="36"/>
    </row>
  </sheetData>
  <mergeCells count="32">
    <mergeCell ref="B36:B37"/>
    <mergeCell ref="A7:G7"/>
    <mergeCell ref="D11:D65"/>
    <mergeCell ref="A74:C74"/>
    <mergeCell ref="B23:B24"/>
    <mergeCell ref="B66:D66"/>
    <mergeCell ref="B68:D68"/>
    <mergeCell ref="B73:D73"/>
    <mergeCell ref="D69:D71"/>
    <mergeCell ref="A11:A72"/>
    <mergeCell ref="C69:C71"/>
    <mergeCell ref="B19:B21"/>
    <mergeCell ref="B26:B29"/>
    <mergeCell ref="B30:B31"/>
    <mergeCell ref="B15:B16"/>
    <mergeCell ref="B17:B18"/>
    <mergeCell ref="B32:B33"/>
    <mergeCell ref="A9:A10"/>
    <mergeCell ref="B9:B10"/>
    <mergeCell ref="C9:C10"/>
    <mergeCell ref="E9:E10"/>
    <mergeCell ref="F9:G9"/>
    <mergeCell ref="D9:D10"/>
    <mergeCell ref="B38:B41"/>
    <mergeCell ref="B58:B61"/>
    <mergeCell ref="B51:B52"/>
    <mergeCell ref="B62:B65"/>
    <mergeCell ref="B54:B57"/>
    <mergeCell ref="B42:B43"/>
    <mergeCell ref="B44:B45"/>
    <mergeCell ref="B46:B47"/>
    <mergeCell ref="B48:B50"/>
  </mergeCells>
  <pageMargins left="0.51181102362204722" right="0.31496062992125984" top="0.35433070866141736" bottom="0.35433070866141736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Лаврентьева Татьяна Вячеславовна</cp:lastModifiedBy>
  <cp:lastPrinted>2022-12-27T07:44:51Z</cp:lastPrinted>
  <dcterms:created xsi:type="dcterms:W3CDTF">2021-12-28T08:04:16Z</dcterms:created>
  <dcterms:modified xsi:type="dcterms:W3CDTF">2022-12-28T08:50:20Z</dcterms:modified>
</cp:coreProperties>
</file>