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6936"/>
  </bookViews>
  <sheets>
    <sheet name="прил 1 " sheetId="4" r:id="rId1"/>
    <sheet name="пояснительная" sheetId="7" r:id="rId2"/>
    <sheet name="Лист5" sheetId="8" r:id="rId3"/>
    <sheet name="Лист2" sheetId="2" state="hidden" r:id="rId4"/>
    <sheet name="пояснительная " sheetId="1" state="hidden" r:id="rId5"/>
    <sheet name="прил 1  минис с 1 шк плюс на у)" sheetId="5" state="hidden" r:id="rId6"/>
    <sheet name="Лист3" sheetId="3" state="hidden" r:id="rId7"/>
  </sheets>
  <definedNames>
    <definedName name="_Hlk132293799" localSheetId="1">пояснительная!$A$2</definedName>
    <definedName name="_Hlk132293799" localSheetId="4">'пояснительная '!$A$8</definedName>
    <definedName name="_Hlk132293799" localSheetId="0">'прил 1 '!$A$6</definedName>
    <definedName name="_Hlk132293799" localSheetId="5">'прил 1  минис с 1 шк плюс на у)'!$A$1</definedName>
  </definedNames>
  <calcPr calcId="145621"/>
</workbook>
</file>

<file path=xl/calcChain.xml><?xml version="1.0" encoding="utf-8"?>
<calcChain xmlns="http://schemas.openxmlformats.org/spreadsheetml/2006/main">
  <c r="G142" i="7" l="1"/>
  <c r="E9" i="4"/>
  <c r="G94" i="7"/>
  <c r="H105" i="7"/>
  <c r="H113" i="7"/>
  <c r="H119" i="7"/>
  <c r="H130" i="7"/>
  <c r="G139" i="7"/>
  <c r="F134" i="4"/>
  <c r="F109" i="4"/>
  <c r="R94" i="7"/>
  <c r="Q94" i="7"/>
  <c r="M89" i="7"/>
  <c r="P94" i="7"/>
  <c r="Q113" i="7"/>
  <c r="P113" i="7"/>
  <c r="P142" i="7" s="1"/>
  <c r="Q119" i="7"/>
  <c r="R112" i="7"/>
  <c r="R111" i="7"/>
  <c r="Q130" i="7"/>
  <c r="D101" i="4"/>
  <c r="C94" i="4"/>
  <c r="C95" i="4"/>
  <c r="C96" i="4"/>
  <c r="C97" i="4"/>
  <c r="C98" i="4"/>
  <c r="C99" i="4"/>
  <c r="C100" i="4"/>
  <c r="C101" i="4"/>
  <c r="E92" i="4"/>
  <c r="M44" i="7"/>
  <c r="I139" i="7"/>
  <c r="J139" i="7"/>
  <c r="K139" i="7"/>
  <c r="L134" i="7"/>
  <c r="L139" i="7" s="1"/>
  <c r="G131" i="7"/>
  <c r="H103" i="7"/>
  <c r="D100" i="4" s="1"/>
  <c r="H102" i="7"/>
  <c r="D99" i="4" s="1"/>
  <c r="H101" i="7"/>
  <c r="D98" i="4" s="1"/>
  <c r="H99" i="7"/>
  <c r="D96" i="4" s="1"/>
  <c r="H100" i="7"/>
  <c r="D97" i="4" s="1"/>
  <c r="H98" i="7"/>
  <c r="D95" i="4" s="1"/>
  <c r="H97" i="7"/>
  <c r="D94" i="4" s="1"/>
  <c r="Q139" i="7"/>
  <c r="G90" i="7"/>
  <c r="H90" i="7" s="1"/>
  <c r="D88" i="4" s="1"/>
  <c r="H75" i="7"/>
  <c r="D74" i="4" s="1"/>
  <c r="R46" i="7"/>
  <c r="R47" i="7"/>
  <c r="R48" i="7"/>
  <c r="R45" i="7"/>
  <c r="I94" i="7"/>
  <c r="L94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90" i="7"/>
  <c r="M91" i="7"/>
  <c r="M92" i="7"/>
  <c r="M93" i="7"/>
  <c r="H79" i="7"/>
  <c r="D78" i="4" s="1"/>
  <c r="H88" i="7"/>
  <c r="D87" i="4" s="1"/>
  <c r="H82" i="7"/>
  <c r="D81" i="4" s="1"/>
  <c r="R113" i="7" l="1"/>
  <c r="H131" i="7"/>
  <c r="L142" i="7"/>
  <c r="M134" i="7"/>
  <c r="M139" i="7" s="1"/>
  <c r="D102" i="4"/>
  <c r="Q92" i="7" l="1"/>
  <c r="Q142" i="7" s="1"/>
  <c r="R93" i="7"/>
  <c r="F91" i="4" s="1"/>
  <c r="H73" i="7" l="1"/>
  <c r="D72" i="4" s="1"/>
  <c r="H74" i="7"/>
  <c r="D73" i="4" s="1"/>
  <c r="H76" i="7"/>
  <c r="D75" i="4" s="1"/>
  <c r="H77" i="7"/>
  <c r="H78" i="7"/>
  <c r="D77" i="4" s="1"/>
  <c r="H80" i="7"/>
  <c r="D79" i="4" s="1"/>
  <c r="H81" i="7"/>
  <c r="D80" i="4" s="1"/>
  <c r="H83" i="7"/>
  <c r="D82" i="4" s="1"/>
  <c r="H84" i="7"/>
  <c r="D83" i="4" s="1"/>
  <c r="H85" i="7"/>
  <c r="D84" i="4" s="1"/>
  <c r="H86" i="7"/>
  <c r="D85" i="4" s="1"/>
  <c r="H87" i="7"/>
  <c r="D86" i="4" s="1"/>
  <c r="H72" i="7"/>
  <c r="D71" i="4" s="1"/>
  <c r="R92" i="7"/>
  <c r="F90" i="4" s="1"/>
  <c r="R91" i="7"/>
  <c r="F89" i="4" s="1"/>
  <c r="F9" i="4" s="1"/>
  <c r="F92" i="4" s="1"/>
  <c r="R139" i="7"/>
  <c r="R142" i="7" s="1"/>
  <c r="R141" i="7"/>
  <c r="K6" i="7"/>
  <c r="K7" i="7"/>
  <c r="M7" i="7" s="1"/>
  <c r="K8" i="7"/>
  <c r="M8" i="7" s="1"/>
  <c r="K9" i="7"/>
  <c r="M9" i="7" s="1"/>
  <c r="K10" i="7"/>
  <c r="M10" i="7" s="1"/>
  <c r="K11" i="7"/>
  <c r="M11" i="7" s="1"/>
  <c r="K12" i="7"/>
  <c r="M12" i="7" s="1"/>
  <c r="K13" i="7"/>
  <c r="M13" i="7" s="1"/>
  <c r="K14" i="7"/>
  <c r="M14" i="7" s="1"/>
  <c r="K15" i="7"/>
  <c r="M15" i="7" s="1"/>
  <c r="K16" i="7"/>
  <c r="M16" i="7" s="1"/>
  <c r="K17" i="7"/>
  <c r="M17" i="7" s="1"/>
  <c r="K18" i="7"/>
  <c r="M18" i="7" s="1"/>
  <c r="K19" i="7"/>
  <c r="M19" i="7" s="1"/>
  <c r="K20" i="7"/>
  <c r="M20" i="7" s="1"/>
  <c r="K21" i="7"/>
  <c r="M21" i="7" s="1"/>
  <c r="K22" i="7"/>
  <c r="M22" i="7" s="1"/>
  <c r="K23" i="7"/>
  <c r="M23" i="7" s="1"/>
  <c r="K24" i="7"/>
  <c r="M24" i="7" s="1"/>
  <c r="K25" i="7"/>
  <c r="M25" i="7" s="1"/>
  <c r="K26" i="7"/>
  <c r="M26" i="7" s="1"/>
  <c r="K27" i="7"/>
  <c r="M27" i="7" s="1"/>
  <c r="K28" i="7"/>
  <c r="M28" i="7" s="1"/>
  <c r="K29" i="7"/>
  <c r="M29" i="7" s="1"/>
  <c r="K30" i="7"/>
  <c r="M30" i="7" s="1"/>
  <c r="K31" i="7"/>
  <c r="M31" i="7" s="1"/>
  <c r="K32" i="7"/>
  <c r="M32" i="7" s="1"/>
  <c r="K33" i="7"/>
  <c r="M33" i="7" s="1"/>
  <c r="K34" i="7"/>
  <c r="M34" i="7" s="1"/>
  <c r="K35" i="7"/>
  <c r="M35" i="7" s="1"/>
  <c r="K36" i="7"/>
  <c r="M36" i="7" s="1"/>
  <c r="K37" i="7"/>
  <c r="M37" i="7" s="1"/>
  <c r="K38" i="7"/>
  <c r="M38" i="7" s="1"/>
  <c r="K39" i="7"/>
  <c r="M39" i="7" s="1"/>
  <c r="K40" i="7"/>
  <c r="M40" i="7" s="1"/>
  <c r="K41" i="7"/>
  <c r="M41" i="7" s="1"/>
  <c r="K42" i="7"/>
  <c r="M42" i="7" s="1"/>
  <c r="K43" i="7"/>
  <c r="M43" i="7" s="1"/>
  <c r="K45" i="7"/>
  <c r="M45" i="7" s="1"/>
  <c r="K46" i="7"/>
  <c r="M46" i="7" s="1"/>
  <c r="K47" i="7"/>
  <c r="M47" i="7" s="1"/>
  <c r="K48" i="7"/>
  <c r="M48" i="7" s="1"/>
  <c r="K49" i="7"/>
  <c r="M49" i="7" s="1"/>
  <c r="K50" i="7"/>
  <c r="M50" i="7" s="1"/>
  <c r="K51" i="7"/>
  <c r="M51" i="7" s="1"/>
  <c r="K52" i="7"/>
  <c r="M52" i="7" s="1"/>
  <c r="K53" i="7"/>
  <c r="M53" i="7" s="1"/>
  <c r="K54" i="7"/>
  <c r="M54" i="7" s="1"/>
  <c r="K55" i="7"/>
  <c r="M55" i="7" s="1"/>
  <c r="K56" i="7"/>
  <c r="M56" i="7" s="1"/>
  <c r="K57" i="7"/>
  <c r="M57" i="7" s="1"/>
  <c r="K58" i="7"/>
  <c r="M58" i="7" s="1"/>
  <c r="K59" i="7"/>
  <c r="M59" i="7" s="1"/>
  <c r="K60" i="7"/>
  <c r="M60" i="7" s="1"/>
  <c r="K61" i="7"/>
  <c r="M61" i="7" s="1"/>
  <c r="K62" i="7"/>
  <c r="M62" i="7" s="1"/>
  <c r="K63" i="7"/>
  <c r="M63" i="7" s="1"/>
  <c r="K64" i="7"/>
  <c r="M64" i="7" s="1"/>
  <c r="K65" i="7"/>
  <c r="M65" i="7" s="1"/>
  <c r="K66" i="7"/>
  <c r="M66" i="7" s="1"/>
  <c r="K67" i="7"/>
  <c r="M67" i="7" s="1"/>
  <c r="K68" i="7"/>
  <c r="M68" i="7" s="1"/>
  <c r="K69" i="7"/>
  <c r="M69" i="7" s="1"/>
  <c r="K70" i="7"/>
  <c r="M70" i="7" s="1"/>
  <c r="K71" i="7"/>
  <c r="K95" i="7"/>
  <c r="K96" i="7"/>
  <c r="K104" i="7"/>
  <c r="K109" i="7"/>
  <c r="K110" i="7"/>
  <c r="K111" i="7"/>
  <c r="K112" i="7"/>
  <c r="K114" i="7"/>
  <c r="K115" i="7"/>
  <c r="K116" i="7"/>
  <c r="K117" i="7"/>
  <c r="K118" i="7"/>
  <c r="K120" i="7"/>
  <c r="K121" i="7"/>
  <c r="K128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8" i="7"/>
  <c r="H39" i="7"/>
  <c r="H40" i="7"/>
  <c r="H41" i="7"/>
  <c r="H42" i="7"/>
  <c r="H43" i="7"/>
  <c r="H44" i="7"/>
  <c r="H45" i="7"/>
  <c r="H46" i="7"/>
  <c r="H47" i="7"/>
  <c r="H48" i="7"/>
  <c r="H50" i="7"/>
  <c r="H51" i="7"/>
  <c r="H52" i="7"/>
  <c r="H53" i="7"/>
  <c r="H54" i="7"/>
  <c r="H55" i="7"/>
  <c r="H56" i="7"/>
  <c r="H106" i="7"/>
  <c r="H120" i="7"/>
  <c r="H121" i="7"/>
  <c r="H122" i="7"/>
  <c r="H124" i="7"/>
  <c r="H126" i="7"/>
  <c r="H128" i="7"/>
  <c r="H129" i="7"/>
  <c r="H133" i="7"/>
  <c r="H134" i="7"/>
  <c r="H140" i="7"/>
  <c r="H6" i="7"/>
  <c r="N139" i="7"/>
  <c r="O112" i="7"/>
  <c r="O111" i="7"/>
  <c r="E123" i="7"/>
  <c r="F123" i="7" s="1"/>
  <c r="H123" i="7" s="1"/>
  <c r="D130" i="7"/>
  <c r="D6" i="7"/>
  <c r="D94" i="7" s="1"/>
  <c r="E140" i="7"/>
  <c r="F138" i="7"/>
  <c r="F137" i="7"/>
  <c r="H137" i="7" s="1"/>
  <c r="F136" i="7"/>
  <c r="H136" i="7" s="1"/>
  <c r="F135" i="7"/>
  <c r="H135" i="7" s="1"/>
  <c r="E126" i="7"/>
  <c r="E124" i="7"/>
  <c r="J122" i="7"/>
  <c r="J108" i="7"/>
  <c r="C71" i="7"/>
  <c r="O46" i="7"/>
  <c r="F71" i="7"/>
  <c r="H71" i="7" s="1"/>
  <c r="F70" i="7"/>
  <c r="H70" i="7" s="1"/>
  <c r="F49" i="7"/>
  <c r="H49" i="7" s="1"/>
  <c r="E38" i="7"/>
  <c r="F37" i="7"/>
  <c r="H37" i="7" s="1"/>
  <c r="F36" i="7"/>
  <c r="H36" i="7" s="1"/>
  <c r="F35" i="7"/>
  <c r="H35" i="7" s="1"/>
  <c r="F34" i="7"/>
  <c r="H34" i="7" s="1"/>
  <c r="E140" i="4"/>
  <c r="D120" i="4"/>
  <c r="D122" i="4"/>
  <c r="D126" i="4"/>
  <c r="E105" i="4"/>
  <c r="E109" i="4" s="1"/>
  <c r="D133" i="4"/>
  <c r="F128" i="4"/>
  <c r="F137" i="4" s="1"/>
  <c r="F108" i="4"/>
  <c r="D109" i="4"/>
  <c r="E115" i="4"/>
  <c r="F115" i="4"/>
  <c r="F125" i="4"/>
  <c r="E134" i="4"/>
  <c r="D135" i="4"/>
  <c r="D9" i="4" l="1"/>
  <c r="D92" i="4" s="1"/>
  <c r="H138" i="7"/>
  <c r="G123" i="4"/>
  <c r="D125" i="4"/>
  <c r="M6" i="7"/>
  <c r="K94" i="7"/>
  <c r="M71" i="7"/>
  <c r="K130" i="7"/>
  <c r="K113" i="7"/>
  <c r="F127" i="7"/>
  <c r="H127" i="7" s="1"/>
  <c r="F125" i="7"/>
  <c r="H125" i="7" s="1"/>
  <c r="E130" i="7"/>
  <c r="I130" i="7"/>
  <c r="N130" i="7"/>
  <c r="M94" i="7" l="1"/>
  <c r="M142" i="7" s="1"/>
  <c r="P114" i="7"/>
  <c r="P115" i="7"/>
  <c r="R115" i="7" s="1"/>
  <c r="P118" i="7"/>
  <c r="R118" i="7" s="1"/>
  <c r="P121" i="7"/>
  <c r="R121" i="7" s="1"/>
  <c r="P133" i="7"/>
  <c r="P140" i="7"/>
  <c r="E105" i="7"/>
  <c r="D105" i="7"/>
  <c r="I113" i="7"/>
  <c r="E106" i="7"/>
  <c r="D113" i="7"/>
  <c r="F108" i="7"/>
  <c r="H108" i="7" s="1"/>
  <c r="F109" i="7"/>
  <c r="H109" i="7" s="1"/>
  <c r="F110" i="7"/>
  <c r="H110" i="7" s="1"/>
  <c r="F111" i="7"/>
  <c r="H111" i="7" s="1"/>
  <c r="F112" i="7"/>
  <c r="H112" i="7" s="1"/>
  <c r="F96" i="7"/>
  <c r="H96" i="7" s="1"/>
  <c r="F104" i="7"/>
  <c r="G104" i="7" s="1"/>
  <c r="F95" i="7"/>
  <c r="H95" i="7" s="1"/>
  <c r="F115" i="7"/>
  <c r="H115" i="7" s="1"/>
  <c r="F116" i="7"/>
  <c r="H116" i="7" s="1"/>
  <c r="F117" i="7"/>
  <c r="H117" i="7" s="1"/>
  <c r="F114" i="7"/>
  <c r="H114" i="7" s="1"/>
  <c r="J130" i="7"/>
  <c r="D114" i="4"/>
  <c r="D115" i="4" s="1"/>
  <c r="R133" i="7" l="1"/>
  <c r="R114" i="7"/>
  <c r="R119" i="7" s="1"/>
  <c r="P119" i="7"/>
  <c r="P139" i="7"/>
  <c r="F105" i="7"/>
  <c r="O45" i="7"/>
  <c r="F58" i="7"/>
  <c r="F59" i="7"/>
  <c r="G59" i="7" s="1"/>
  <c r="F60" i="7"/>
  <c r="H60" i="7" s="1"/>
  <c r="F61" i="7"/>
  <c r="H61" i="7" s="1"/>
  <c r="F62" i="7"/>
  <c r="H62" i="7" s="1"/>
  <c r="F63" i="7"/>
  <c r="H63" i="7" s="1"/>
  <c r="F64" i="7"/>
  <c r="H64" i="7" s="1"/>
  <c r="F65" i="7"/>
  <c r="H65" i="7" s="1"/>
  <c r="F66" i="7"/>
  <c r="H66" i="7" s="1"/>
  <c r="F67" i="7"/>
  <c r="H67" i="7" s="1"/>
  <c r="F68" i="7"/>
  <c r="H68" i="7" s="1"/>
  <c r="F69" i="7"/>
  <c r="H69" i="7" s="1"/>
  <c r="F57" i="7"/>
  <c r="H57" i="7" s="1"/>
  <c r="E56" i="7"/>
  <c r="E50" i="7"/>
  <c r="E51" i="7"/>
  <c r="E52" i="7"/>
  <c r="E53" i="7"/>
  <c r="E54" i="7"/>
  <c r="E55" i="7"/>
  <c r="J41" i="7"/>
  <c r="J42" i="7"/>
  <c r="J43" i="7"/>
  <c r="J44" i="7"/>
  <c r="J40" i="7"/>
  <c r="E39" i="7"/>
  <c r="E29" i="7"/>
  <c r="E30" i="7"/>
  <c r="E31" i="7"/>
  <c r="E32" i="7"/>
  <c r="E33" i="7"/>
  <c r="E28" i="7"/>
  <c r="E27" i="7"/>
  <c r="E22" i="7"/>
  <c r="E23" i="7"/>
  <c r="E24" i="7"/>
  <c r="E25" i="7"/>
  <c r="E26" i="7"/>
  <c r="E21" i="7"/>
  <c r="E16" i="7"/>
  <c r="E17" i="7"/>
  <c r="E18" i="7"/>
  <c r="E19" i="7"/>
  <c r="E20" i="7"/>
  <c r="E15" i="7"/>
  <c r="E14" i="7"/>
  <c r="E13" i="7"/>
  <c r="E12" i="7"/>
  <c r="E9" i="7"/>
  <c r="E10" i="7"/>
  <c r="E11" i="7"/>
  <c r="E8" i="7"/>
  <c r="F7" i="7"/>
  <c r="H7" i="7" s="1"/>
  <c r="E116" i="4"/>
  <c r="E125" i="4" s="1"/>
  <c r="H94" i="7" l="1"/>
  <c r="J94" i="7"/>
  <c r="G58" i="7"/>
  <c r="F94" i="7"/>
  <c r="F130" i="7"/>
  <c r="H11" i="8"/>
  <c r="H13" i="8" s="1"/>
  <c r="E107" i="7"/>
  <c r="C5" i="8"/>
  <c r="C6" i="8" s="1"/>
  <c r="C7" i="8"/>
  <c r="C9" i="8" s="1"/>
  <c r="D132" i="7"/>
  <c r="F132" i="7" s="1"/>
  <c r="F139" i="7" s="1"/>
  <c r="D131" i="7"/>
  <c r="N119" i="7"/>
  <c r="I119" i="7"/>
  <c r="K119" i="7" s="1"/>
  <c r="K142" i="7" s="1"/>
  <c r="D118" i="7"/>
  <c r="N113" i="7"/>
  <c r="N48" i="7"/>
  <c r="N94" i="7" s="1"/>
  <c r="N142" i="7" l="1"/>
  <c r="H132" i="7"/>
  <c r="H139" i="7" s="1"/>
  <c r="I142" i="7"/>
  <c r="E131" i="7"/>
  <c r="D139" i="7"/>
  <c r="P130" i="7"/>
  <c r="O130" i="7"/>
  <c r="D119" i="7"/>
  <c r="F119" i="7" s="1"/>
  <c r="F118" i="7"/>
  <c r="H118" i="7" s="1"/>
  <c r="F107" i="7"/>
  <c r="C10" i="8"/>
  <c r="N5" i="7"/>
  <c r="O48" i="7"/>
  <c r="O94" i="7" s="1"/>
  <c r="D127" i="4"/>
  <c r="D134" i="4" s="1"/>
  <c r="D137" i="4" s="1"/>
  <c r="R130" i="7" l="1"/>
  <c r="O142" i="7"/>
  <c r="F113" i="7"/>
  <c r="H142" i="7" s="1"/>
  <c r="H107" i="7"/>
  <c r="D142" i="7"/>
  <c r="F142" i="7" l="1"/>
  <c r="G59" i="1"/>
  <c r="F54" i="1"/>
  <c r="E57" i="1" l="1"/>
  <c r="F57" i="1" s="1"/>
  <c r="F12" i="1" l="1"/>
  <c r="F13" i="1"/>
  <c r="F14" i="1"/>
  <c r="F15" i="1"/>
  <c r="F16" i="1"/>
  <c r="F17" i="1"/>
  <c r="F18" i="1"/>
  <c r="F19" i="1"/>
  <c r="F20" i="1"/>
  <c r="F21" i="1"/>
  <c r="F22" i="1"/>
  <c r="E23" i="1"/>
  <c r="F24" i="1"/>
  <c r="F25" i="1"/>
  <c r="F26" i="1"/>
  <c r="F27" i="1"/>
  <c r="F28" i="1"/>
  <c r="D29" i="1"/>
  <c r="F29" i="1" s="1"/>
  <c r="F30" i="1"/>
  <c r="D31" i="1"/>
  <c r="F31" i="1" s="1"/>
  <c r="F32" i="1"/>
  <c r="F33" i="1"/>
  <c r="F34" i="1"/>
  <c r="F35" i="1"/>
  <c r="D36" i="1"/>
  <c r="F36" i="1" s="1"/>
  <c r="F37" i="1"/>
  <c r="F38" i="1"/>
  <c r="F41" i="1"/>
  <c r="F42" i="1"/>
  <c r="F43" i="1"/>
  <c r="F39" i="1"/>
  <c r="F40" i="1"/>
  <c r="J44" i="1"/>
  <c r="J45" i="1" s="1"/>
  <c r="E45" i="1"/>
  <c r="G45" i="1"/>
  <c r="H45" i="1"/>
  <c r="I45" i="1"/>
  <c r="F47" i="1"/>
  <c r="D48" i="1"/>
  <c r="D55" i="1" s="1"/>
  <c r="E48" i="1"/>
  <c r="J49" i="1"/>
  <c r="J55" i="1" s="1"/>
  <c r="F50" i="1"/>
  <c r="F51" i="1"/>
  <c r="F52" i="1"/>
  <c r="F53" i="1"/>
  <c r="G55" i="1"/>
  <c r="H55" i="1"/>
  <c r="I55" i="1"/>
  <c r="F56" i="1"/>
  <c r="F59" i="1" s="1"/>
  <c r="J58" i="1"/>
  <c r="J59" i="1" s="1"/>
  <c r="D59" i="1"/>
  <c r="E59" i="1"/>
  <c r="I59" i="1"/>
  <c r="F60" i="1"/>
  <c r="F61" i="1" s="1"/>
  <c r="D61" i="1"/>
  <c r="E61" i="1"/>
  <c r="G61" i="1"/>
  <c r="H61" i="1"/>
  <c r="F62" i="1"/>
  <c r="F63" i="1"/>
  <c r="F64" i="1"/>
  <c r="F65" i="1"/>
  <c r="F66" i="1"/>
  <c r="F67" i="1"/>
  <c r="F68" i="1"/>
  <c r="J69" i="1"/>
  <c r="J70" i="1" s="1"/>
  <c r="D70" i="1"/>
  <c r="E70" i="1"/>
  <c r="G70" i="1"/>
  <c r="H70" i="1"/>
  <c r="I70" i="1"/>
  <c r="F71" i="1"/>
  <c r="F72" i="1"/>
  <c r="E73" i="1"/>
  <c r="F73" i="1" s="1"/>
  <c r="F74" i="1"/>
  <c r="F75" i="1"/>
  <c r="E75" i="1" s="1"/>
  <c r="I75" i="1"/>
  <c r="I80" i="1" s="1"/>
  <c r="E76" i="1"/>
  <c r="E77" i="1"/>
  <c r="F79" i="1"/>
  <c r="D80" i="1"/>
  <c r="G80" i="1"/>
  <c r="H80" i="1"/>
  <c r="J80" i="1"/>
  <c r="I90" i="1"/>
  <c r="D91" i="1"/>
  <c r="F80" i="1" l="1"/>
  <c r="G82" i="1"/>
  <c r="F70" i="1"/>
  <c r="F23" i="1"/>
  <c r="F45" i="1"/>
  <c r="F48" i="1"/>
  <c r="F55" i="1" s="1"/>
  <c r="E55" i="1"/>
  <c r="D23" i="1"/>
  <c r="D45" i="1" s="1"/>
  <c r="D82" i="1" s="1"/>
  <c r="I82" i="1"/>
  <c r="I86" i="1" s="1"/>
  <c r="H82" i="1"/>
  <c r="J82" i="1"/>
  <c r="J84" i="1" s="1"/>
  <c r="J87" i="1" s="1"/>
  <c r="E80" i="1"/>
  <c r="E82" i="1" l="1"/>
  <c r="D86" i="1" s="1"/>
  <c r="I91" i="1"/>
  <c r="F82" i="1"/>
  <c r="E5" i="5"/>
  <c r="I5" i="5" s="1"/>
  <c r="D85" i="1" l="1"/>
  <c r="F83" i="1"/>
  <c r="E89" i="1"/>
  <c r="F89" i="1" s="1"/>
  <c r="F90" i="1" s="1"/>
  <c r="F87" i="1"/>
  <c r="F9" i="5"/>
  <c r="E102" i="4"/>
  <c r="E137" i="4" s="1"/>
  <c r="F102" i="4"/>
  <c r="F139" i="4" s="1"/>
  <c r="D138" i="4" l="1"/>
  <c r="E141" i="4" s="1"/>
  <c r="E142" i="4" s="1"/>
  <c r="F141" i="4"/>
  <c r="G89" i="1"/>
  <c r="C9" i="2" l="1"/>
  <c r="D5" i="2"/>
  <c r="D6" i="2"/>
  <c r="D7" i="2"/>
  <c r="D4" i="2"/>
  <c r="E12" i="1" l="1"/>
</calcChain>
</file>

<file path=xl/comments1.xml><?xml version="1.0" encoding="utf-8"?>
<comments xmlns="http://schemas.openxmlformats.org/spreadsheetml/2006/main">
  <authors>
    <author>Автор</author>
  </authors>
  <commentList>
    <comment ref="C5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C5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<sst xmlns="http://schemas.openxmlformats.org/spreadsheetml/2006/main" count="458" uniqueCount="354">
  <si>
    <t xml:space="preserve">            ПРИЛОЖЕНИЕ</t>
  </si>
  <si>
    <t>Утверждено</t>
  </si>
  <si>
    <t>распоряжением Администрации</t>
  </si>
  <si>
    <t>Златоустовского городского округа</t>
  </si>
  <si>
    <t>№</t>
  </si>
  <si>
    <t>Наименование учреждения</t>
  </si>
  <si>
    <t>Перечень работ</t>
  </si>
  <si>
    <t>Муниципальное автономное учреждение дополнительного образования «Спортивная школа олимпийского резерва № 1 им. С.И. Ишмуратовой Златоустовского городского округа»</t>
  </si>
  <si>
    <t>Замена санитарно-технического оборудования.  Отделка стен в душевой и туалетах. Ремонт пола в душевой и туалетах.  Замена дверей. Установка перегородок. Электромонтажные работы. Замена отопления в душевой. г. Златоуст ул. Панфилова, 2</t>
  </si>
  <si>
    <t>Замена санитарно-технического оборудования.  Отделка стен в душевой и туалетах. Ремонт пола в душевой и туалетах.  Замена дверей. Замена окон. Установка перегородок. Электромонтажные работы. г. Златоуст, пр. им. Гагарина, 3м/р, д. 25</t>
  </si>
  <si>
    <t>Замена санитарно-технического оборудования.  Отделка стен в душевой и туалете. Ремонт пола в душевой и туалете.  Замена дверей. Установка перегородок. г. Златоуст, кв. Южноуральский, д.1</t>
  </si>
  <si>
    <t>Замена санитарно-технического оборудования.  Отделка стен в душевой и туалете. Ремонт пола в душевой и туалете.  Замена дверей. Установка перегородок. Установка водонагревателя. Златоуст ул. Румянцева, д. 113</t>
  </si>
  <si>
    <t>Замена санитарно-технического оборудования.  Отделка стен в душевой и туалете. Ремонт пола в душевой и туалете.  Замена дверей. Установка перегородок. Замена отопления в туалетах. .г. Златоуст, ул. Шишкина, д. 17</t>
  </si>
  <si>
    <t>Замена освещения в бюджетных учреждения на светодиодное.  г. Златоуст ул. Спортивная 1а, ул. Панфилова, 2,  пр. им. Гагарина, 3м/р, д. 25, кв. Южноуральский, д.1, ул. Румянцева, д. 113, ул. Шишкина, д. 17</t>
  </si>
  <si>
    <t>Обследование технического состояния системы вентиляции. г. Златоуст ул. Панфилова, 2,  пр. им. Гагарина, 3м/р, д. 25, кв. Южноуральский, д.1, ул. Румянцева, д. 113, ул. Шишкина, д. 17</t>
  </si>
  <si>
    <t>Разработка проектно-сметной документации по объекту: Капитальный ремонт фасада здания АСК, расположенного по адресу: г. Златоуст, ул. Спортивная 1К</t>
  </si>
  <si>
    <t>Ремонтные работы на объекте Лыжно-биатлонный комплекс им. С.И. Ишмуратовой по адресу г. Златоуст, ул. Спортивная, 1К, в том числе:</t>
  </si>
  <si>
    <t>- внутренняя отделка помещений 3 этажа с заменой оконных конструкций, системы отопления</t>
  </si>
  <si>
    <t>- ремонт брусчатки перед основным входом в АСК</t>
  </si>
  <si>
    <t>- облицовка подпорной стенки пешеходной дорожки со стороны стадиона (вдоль трибун, аск, стадиона)</t>
  </si>
  <si>
    <t>- капитальный ремонт фасада здания АСК расположенного по адресу: Челябинская область, г. Златоуст, ул. Спортивная, 1К</t>
  </si>
  <si>
    <t>- расширение выхода со старта лыжных трасс (земляные работы, асфальтирование)</t>
  </si>
  <si>
    <t>- планировка территории горы откатки лыж (работа спецтехники)</t>
  </si>
  <si>
    <t>- водоотведение и асфальтирование</t>
  </si>
  <si>
    <t>- отсыпка и планировка разминочного круга для спортсменов (работа спецтехники)</t>
  </si>
  <si>
    <t>- устройство снегохранилища (чистка карьера, работа спецтехники)</t>
  </si>
  <si>
    <t>- парковка спецтехники МатчТВ (работа спецтехники, отсыпка)</t>
  </si>
  <si>
    <t>- зона безопасности биатлонного стрельбища (удлинение стены имеющейся)</t>
  </si>
  <si>
    <t>- капитальный ремонт домиков для полноценного функционирования</t>
  </si>
  <si>
    <t>Оказание услуг по проведению государственной экспертизы проектной документации на предмет проверки достоверности определения сметной стоимости объекта: «Капитальный ремонт фасада здания АСК, расположенного по адресу: Челябинская область, г. Златоуст, ул. Спортивная 1К»</t>
  </si>
  <si>
    <t>Муниципальное автономное учреждение дополнительного образования «Спортивная школа № 3 Златоустовского городского округа»</t>
  </si>
  <si>
    <t>Технический надзор за выполнением работ по ремонту спортивного зала, мужской раздевалки на объекте МАУДО СШ № 3, находящегося по адресу: г. Златоуст пр. им. Ю.А. Гагарина, 5 линия, д. 3в</t>
  </si>
  <si>
    <t>Муниципальное автономное учреждение дополнительного образования «Спортивная школа № 7 Златоустовского городского округа»</t>
  </si>
  <si>
    <t>Муниципальное автономное учреждение дополнительного образования «Спортивная школа олимпийского резерва № 8 «Уралочка»</t>
  </si>
  <si>
    <t>итого</t>
  </si>
  <si>
    <t>Разработка проектно-сметной документациипо благоустройству территории на лыжном стадионе, расположенного по адресу: г. Златоуст, ул. Спортивная 1К</t>
  </si>
  <si>
    <t>Разработка проектно-сметной документации, монтаж системы наружного освещения и управления детским безопорным буксировочным подъемником, устройство пункта управления детским безопорным буксировочным подъемником на горнолыжной базе по адресу:г. Златоуст, ул. им. И.В. Панфилова, д. 2</t>
  </si>
  <si>
    <t>от ________________№______________</t>
  </si>
  <si>
    <t>Перечень объектов и работ по ремонтам, противопожарным  и антитеррористическим 
мероприятиям в учреждениях, 
подведомственных муниципальному казенному учреждению Управление по физической культуре и спорту Златоустовского городского округа на 2023 год</t>
  </si>
  <si>
    <t xml:space="preserve">Осуществление строительного контроля, выполнение работ по составлению дефектных ведомостей и проверке сметной документации, разработка кадастровойи проектной документации на объекте МАУДО СШОР № 1, расположенном ко адресу: г. Златоуст, ул. Спортивная, 1К </t>
  </si>
  <si>
    <t>ИТОГО по Муниципальному автономному учреждению дополнительного образования «Спортивная школа № 7 Златоустовского городского округа»:</t>
  </si>
  <si>
    <t>ИТОГО по Муниципальному автономному учреждению дополнительного образования «Спортивная школа олимпийского резерва № 8 «Уралочка»:</t>
  </si>
  <si>
    <t xml:space="preserve">Ремонт спортивного зала по адресу: г. Златоуст, пр. им. Ю.А. Гагарина, 5 линия, д. 3в </t>
  </si>
  <si>
    <t>Устройство дренажной системы (водоотведение  стадиона по адресу: г. Златоуст, пр. им. Ю.А. Гагарина, 5 линия,  д. 3в)</t>
  </si>
  <si>
    <t>Освещение, видеонаблюдение стадиона по адресу: г. Златоуст, пр. им. Ю.А. Гагарина, 5 линия,  д. 3в)</t>
  </si>
  <si>
    <t>Ремонт ограждения с обустройством тротуаров г. Златоуст пр. им. Ю.А. Гагарина, 5 линия, д. 3в</t>
  </si>
  <si>
    <t>Разработка проектно-сметной документации на объект «Капитальный ремонт стадиона «Таганай» по адресу: г. Златоуст, пр. Мира, дом 9а»</t>
  </si>
  <si>
    <t>Ремонт помещений по адресу: г. Златоуст, пр. Мира, д 45</t>
  </si>
  <si>
    <t>Ремонт лестничного марша с укладкой кафельной плитки, заменой крепления перил, демонтажом и монтажом ограждения по адресу: г. Златоуст, пр. им. Ю.А. Гагарина, 8 линия, д. 20.</t>
  </si>
  <si>
    <t>Ремонт и монтаж пожарной сигнализации ПАК «Стрелец-мониторинг» по адресу: г. Златоуст, пр. им. Ю.А. Гагарина, 5 линия, д. 3в</t>
  </si>
  <si>
    <t xml:space="preserve"> - монтаж наружного освещения мишеней на МАУДО «СШОР № 1» расположенного по адресу: Челябинская область, г. Златоуст, ул. Спортивная, 1К</t>
  </si>
  <si>
    <t>- прокладка футляров под кабельные линии из полиэтиленовой трубы для укладки оптоволоконных и электрических кабелей под нужды Матч ТВ, по адресу: г. Златоуст, ул. Спортивная, 1К</t>
  </si>
  <si>
    <t>- оказание услуг по проведению повторной государственной экспертизы проектной документациии результатов инженерных изысканий по объекту: "Реконструкция лыжного стадиона им. С. Ишмуратовой со строительством биатлонного стрельбища по адресу: Челябинская область, г. Златоуст, квартал № 152 Златоустовского участкового лесничества ОГУ "Миасское лесничество". (Корректировка II этапа строительства)</t>
  </si>
  <si>
    <t>3</t>
  </si>
  <si>
    <t>Проведение ремонта спортзала школы, ремонт вентиляции спортзала по аадресу: г. Златоуст, проспект им. Ю.А. Гагарина, 5 линия,д.3В</t>
  </si>
  <si>
    <t>Муниципальное автономное учреждение дополнительного образования «Спортивная школа олимпийского резерва № 5»</t>
  </si>
  <si>
    <t>ИТОГО по Муниципальному автономному учреждению дополнительного образования «Спортивная школа олимпийского резерва № 1 им. С.И. Ишмуратовой Златоустовского городского округа»</t>
  </si>
  <si>
    <t xml:space="preserve">ИТОГО по Муниципальному автономному учреждению дополнительного образования «Спортивная школа № 3 Златоустовского городского округа» </t>
  </si>
  <si>
    <t>4</t>
  </si>
  <si>
    <t>Муниципальное бюджетное учреждение дополнительного образования «Спортивная школа № 4»</t>
  </si>
  <si>
    <t>ИТОГО по Муниципальному бюджетноному учреждению дополнительного образования «Спортивная школа №4»</t>
  </si>
  <si>
    <t>Внесенные изменения</t>
  </si>
  <si>
    <t>- монтаж наружного освещения мишеней на МАУДО «СШОР № 1» расположенного по адресу: Челябинская область, г. Златоуст, ул. Спортивная, 1К</t>
  </si>
  <si>
    <t>3 503 224,06</t>
  </si>
  <si>
    <t xml:space="preserve">Уточненное направление расходов </t>
  </si>
  <si>
    <t xml:space="preserve">Предусмотрено в Распоряжении Администрации ЗГО от 13.09.2023г. №2940-р/АДМ </t>
  </si>
  <si>
    <t>итого уточнение расходов</t>
  </si>
  <si>
    <t xml:space="preserve">Ремонт кровли в здании зимней спортбазы  (поелок Айский,  дом 2) </t>
  </si>
  <si>
    <t>Ремонт (замена) аварийного участка электропроводки в здании зимней спортбазы (поселок Айский, дом 2)</t>
  </si>
  <si>
    <t>№45-ЗГО от 30.10.2023</t>
  </si>
  <si>
    <t xml:space="preserve">ОСВЕЩЕНИЕ НА ФУТБОЛЬНОМ ПОЛЕ  РЕКОНСТРУКЦИЯ ФУТБОЛЬНОГО ПОЛЯ РЕМОНТ ФАСАДА СПОРТКОМПЛЕКСА </t>
  </si>
  <si>
    <t>ассиг</t>
  </si>
  <si>
    <t>лим</t>
  </si>
  <si>
    <t xml:space="preserve">№3443-р/адм от 30.10.2023           Ремонт, руб.                                </t>
  </si>
  <si>
    <t>Услуги по проведению негосударственной экспертизы сметной документации объекта: капитальный ремонт подпорной стенки объекта спорта по адресу Челябинская область, г. Златоуст, ул. Карла Маркса 28.</t>
  </si>
  <si>
    <t>Замене розлива системы отопления и установка радиаторов отопления, проверка сметной документации по адресу: г. Златоуст, ул. Урицкого, д. 36а</t>
  </si>
  <si>
    <t>Монтаж оранного телевидения по адресу: г. Златоуст, ул. им. Н.П. Полетаева, д. 9А.</t>
  </si>
  <si>
    <t>ремонт</t>
  </si>
  <si>
    <t xml:space="preserve">Противо-пожарные мероприятия,                          руб. №3443-р/адм от 30.10.2023     </t>
  </si>
  <si>
    <t>Антитеррористические мероприятия</t>
  </si>
  <si>
    <t xml:space="preserve">№3443-р/адм от 30.10.2023           Ремонт, руб. </t>
  </si>
  <si>
    <t>Установка видеонаблюдения и освещение футбольного поля "Таганай"</t>
  </si>
  <si>
    <t>итого Антитеррористические мероприятия 2908</t>
  </si>
  <si>
    <t xml:space="preserve">итого по столбцам </t>
  </si>
  <si>
    <t>итого 2901,2908</t>
  </si>
  <si>
    <t xml:space="preserve">Ремонт хладоустановки спортивной арены ФОК «Таганай», пр. Мира, 45 </t>
  </si>
  <si>
    <t>Установка узла учета тепла в ФОК "Таганай", (пр. Мира, д.45)</t>
  </si>
  <si>
    <t>Замена подвесных потолков в коридорах здания зимней спортбазы (поселок Айский, дом 2)</t>
  </si>
  <si>
    <t xml:space="preserve">государственная экспертиза проектной документации на предмет проверки достоверности определения сметной стоимости объекта «Ремонтные работы по замене столбов системы наружного освещения и видеонаблюдения лыжной и лыжероллерной трасс» </t>
  </si>
  <si>
    <t>ремонт подъемника, строительный контроль. г. Златоуст ул. им. И.В. Панфилова,2</t>
  </si>
  <si>
    <t xml:space="preserve"> Замена оконных блоков по адресу: г. Златоуст, ул.Кусинское шоссе, д.1б </t>
  </si>
  <si>
    <t>Ремонт, руб.</t>
  </si>
  <si>
    <t>Противо-пожарные мероприятия. руб.</t>
  </si>
  <si>
    <t>Ремонт фасада здания, технический надзор за ремонтом фасада, окна, двери, входная группа, изготовление и установка фасадеого освещения, барильефов, фасадных часов,   работы по составлению дефектной ведомости, сметной документации   по адресу: г. Златоуст, ул. им. Карла Маркса, дом 28.</t>
  </si>
  <si>
    <t>проектно-сметная документация</t>
  </si>
  <si>
    <t>краска</t>
  </si>
  <si>
    <t xml:space="preserve">Уточнение расходов  по ремонтам, противопожарным  
мероприятиям в МАУ ДО СШОР №1, 
</t>
  </si>
  <si>
    <t xml:space="preserve"> ограждение из плит </t>
  </si>
  <si>
    <t>ИТОГО по Муниципальному автономному учреждению дополнительного образования «Спортивная школа олимпийского резерва № 5»</t>
  </si>
  <si>
    <t xml:space="preserve">Реализация инициативных проектов 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 по адресу: г. Златоуст, ул. им. Карла Маркса, 28). Технический надзор за выполнением работ, приобретение нетканого геотекстиля, восстановление освещения вдоль беговой дорожки </t>
  </si>
  <si>
    <t xml:space="preserve">технического надзора за выполнением работ 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 по адресу: г. Златоуст, ул. им. Карла Маркса, 28). Технический надзор за выполнением работ, приобретение нетканого геотекстиля, восстановление освещения вдоль беговой дорожки </t>
  </si>
  <si>
    <t>- возведение временного объекта пешеходного тоннеля на лыжном стадионе им. С,И. Ишмуратовой  по адресу: Челябинская область г. Златоуст, квартал №152 Златоустовского участкового лесничества ОГУ «Миасское лесничество»</t>
  </si>
  <si>
    <t>- благоустройство территории (устройство ограждения стадиона и подъездных путей на лыжном стадионе), адрес: Челябинская область, г. Златоуст, ул. Спортивная, 1К»</t>
  </si>
  <si>
    <t>Установка шлагбаума на стадионе Булат                              г. Златоуст, ул. Спортивная, 1А</t>
  </si>
  <si>
    <r>
      <t>Замена линоулема, утепление теплотрассы, составление сметной документации по адресу: г.Златоуст, ул. им. Н.П. Полетаева, д. 9А</t>
    </r>
    <r>
      <rPr>
        <sz val="12"/>
        <color rgb="FFFF0000"/>
        <rFont val="Times New Roman"/>
        <family val="1"/>
        <charset val="204"/>
      </rPr>
      <t xml:space="preserve">. </t>
    </r>
  </si>
  <si>
    <t xml:space="preserve">Технический надзор за выполнением работ по устройству дренажной системы на обьекте МАУДО СШ№3, находящегося по адресу: г.Златоуст,пр.Гагарина,5линия,д.3В.                 </t>
  </si>
  <si>
    <t>Ремонт пола спортивного зала по адресу: г.Златоуст,ул.Ленина,1</t>
  </si>
  <si>
    <t xml:space="preserve">Реконструкция футбольного поля с укладкой искусственного покрытия стадиона "Металлург". Устранение недостатков проектных решений (приобретение нетканого геотекстиля, поверхностного плотностью 200 г/м2, резиновый гранулят фракции 1-3 мм), восстановление освещения вдоль беговой дорожки  по адресу: г. Златоуст, ул. им. Карла Маркса, 28). </t>
  </si>
  <si>
    <t>Работы по составлению сметной документации ремонт нежилого здания-общественный туалет (локальная смета № 519) на объекте МАУДО «СШОР № 8, находящегося по адресу: г. Златоуст, ул.им.К.Маркса, д.28</t>
  </si>
  <si>
    <t>итого ремонт и противопожарные мероприятия 2901</t>
  </si>
  <si>
    <t>МКУ УФКиС ЗГО</t>
  </si>
  <si>
    <t>2</t>
  </si>
  <si>
    <t>-капитальный ремонт фасада АСК</t>
  </si>
  <si>
    <t>-перенос воздушной линии электропередач</t>
  </si>
  <si>
    <t>- восстановление электропроводки в подвальном помещении АСК</t>
  </si>
  <si>
    <t>-электро-монтажные работы по установке розеток</t>
  </si>
  <si>
    <t>-внутренние электроснабжение (командные домики)</t>
  </si>
  <si>
    <t>-установка сантехнического оборудования</t>
  </si>
  <si>
    <t>-ремонт системы водопровода (командные домики)</t>
  </si>
  <si>
    <t>-ремонт системы отопления (командные домики)</t>
  </si>
  <si>
    <t>-проверка сметной документации и осуществление технического (строительного) надзора за выполнением ремонтных работ</t>
  </si>
  <si>
    <t>-облицовка подпорной стены стрельбища</t>
  </si>
  <si>
    <t>-изготовление и монтаж ограждения зрительских трибун, биржи, перил зрительских трибун</t>
  </si>
  <si>
    <t>-электромонтажные работы</t>
  </si>
  <si>
    <t xml:space="preserve">-покраска стен перехода </t>
  </si>
  <si>
    <t>-устройство площадки для разворота автобуса</t>
  </si>
  <si>
    <t>-отделка фасада насосной</t>
  </si>
  <si>
    <t>-закладывание проема в комнате хранения оружия</t>
  </si>
  <si>
    <t>-ремонт брусчатки входной группы перед АСК</t>
  </si>
  <si>
    <t>-ремонт системы отопления (здание трибун 2 и 3 этаж)</t>
  </si>
  <si>
    <t>-монтаж навесов, ливнестоков</t>
  </si>
  <si>
    <t>-демонтаж и установка нового ограждения</t>
  </si>
  <si>
    <t>-ремонт коридора и санузла</t>
  </si>
  <si>
    <t>-благоустройство территории (устройство ограждения стадиона и подъездных путей на лыжном стадионе)</t>
  </si>
  <si>
    <t>-демонтаж трибун</t>
  </si>
  <si>
    <t>ПРИЛОЖЕНИЕ</t>
  </si>
  <si>
    <t>Ремонт, рублей</t>
  </si>
  <si>
    <t>-вход для лыжников с оружием</t>
  </si>
  <si>
    <t>-обеспечение инфраструктуры ТВ-производства                          на объекте биатлонного стадиона</t>
  </si>
  <si>
    <t>- устройство входов в подвальные помещения командных домиков</t>
  </si>
  <si>
    <t>6</t>
  </si>
  <si>
    <t xml:space="preserve">Переосвидетельствование, перезарядка и ремонт огнетушителей по всем объектам спортивной школы </t>
  </si>
  <si>
    <t>распоряжением администрации</t>
  </si>
  <si>
    <t>Противопожарные мероприятия, рублей</t>
  </si>
  <si>
    <t>Антитеррористические мероприятия, рублей</t>
  </si>
  <si>
    <t>-ремонт комнат, коридоров, ступеней, которые выходят на трибуны</t>
  </si>
  <si>
    <t>-ремонт помещения и лестничного марша здания АСК</t>
  </si>
  <si>
    <t>-установка сейфов в комнате хранения оружия (бетонирование, крепление)</t>
  </si>
  <si>
    <t>-входная группа Матч-ТВ</t>
  </si>
  <si>
    <t>-огнезащитная обработка стрельбища</t>
  </si>
  <si>
    <t>-приобретение огнетушителей</t>
  </si>
  <si>
    <t>-очистка и огрунтовка металлических конструкций перед нанесением огнезащитного покрытия</t>
  </si>
  <si>
    <t>-монтаж видеонаблюдения                     (КПП1, КПП2, оружейная комната)</t>
  </si>
  <si>
    <t>-монтаж охранной сигнализации (лыжная галерея, АСК, котельная, насосная, очистные)</t>
  </si>
  <si>
    <t xml:space="preserve">-монтаж видеонаблюдения </t>
  </si>
  <si>
    <t>-ремонт туалета</t>
  </si>
  <si>
    <t xml:space="preserve">-ремонт потолка подтрибунного помещения 2 этажа </t>
  </si>
  <si>
    <t xml:space="preserve">-ремонтные работы по подпорной стенке </t>
  </si>
  <si>
    <t xml:space="preserve">-планировка территории </t>
  </si>
  <si>
    <t>-ремонт помещений в домиках</t>
  </si>
  <si>
    <t xml:space="preserve">-облицовка потолков на втором этаже </t>
  </si>
  <si>
    <t xml:space="preserve">-облицовка потолков на первом этаже </t>
  </si>
  <si>
    <t>-ремонт подтрибунных помещений</t>
  </si>
  <si>
    <t>Муниципальное автономное учреждение дополнительного образования «Спортивная школа № 7»</t>
  </si>
  <si>
    <t>ИТОГО по муниципальному автономному учреждению дополнительного образования «Спортивная школа олимпийского резерва № 1 им. С.И. Ишмуратовой Златоустовского городского округа»</t>
  </si>
  <si>
    <t xml:space="preserve">ИТОГО по муниципальному автономному учреждению дополнительного образования «Спортивная школа № 3 Златоустовского городского округа» </t>
  </si>
  <si>
    <t>ИТОГО по муниципальному бюджетному учреждению дополнительного образования «Спортивная школа №4»</t>
  </si>
  <si>
    <t>ИТОГО по муниципальному автономному учреждению дополнительного образования «Спортивная школа олимпийского резерва № 5»</t>
  </si>
  <si>
    <t>ИТОГО по муниципальному автономному учреждению дополнительного образования «Спортивная школа олимпийского резерва № 8 «Уралочка»:</t>
  </si>
  <si>
    <t>итого антитеррористические мероприятия 2908</t>
  </si>
  <si>
    <t>ИТОГО муниципальное автономное учреждение дополнительного образования «Спортивная школа № 7»</t>
  </si>
  <si>
    <t>-строительный контроль: работы по устранению замечаний, выявленных Госстройнадзором (зрительские трибуны  и комментаторские кабины)</t>
  </si>
  <si>
    <t>-дополнительные работы по вип-зоне (покраска, замена дверных блоков, окон, ремонт отопления и прочие работы)</t>
  </si>
  <si>
    <t>-монтаж пожарной сигнализации АСК (Вип-зона)</t>
  </si>
  <si>
    <t>Муниципальное автономное учреждение дополнительного образования «Спортивная школа      № 3 Златоустовского городского округа»</t>
  </si>
  <si>
    <t>Муниципальное бюджетное учреждение дополнительного образования «Спортивная школа        № 4»</t>
  </si>
  <si>
    <t>Монтаж пожарной сигнализации по адресу:                 г. Златоуст, ул. М.С. Урицкого, д. 36а</t>
  </si>
  <si>
    <t>Антитеррористические мероприятия по адресу:                 г. Златоуст,                         проспект им. Ю.А. Гагарина,         5 линия,д.3В: Монтаж системы экстренного оповещения, монтаж охранной сигнализации, монтаж системы видеонаблюдения, приобретение жесткого                 для системы видеонаблюдения, приобретение  металлодетектора</t>
  </si>
  <si>
    <t>Ремонт баскетбольной                   и волейбольной площадки (нанесение разметки), отсыпка футбольного поля (приобретение материалов)</t>
  </si>
  <si>
    <t>-строительный контроль: выполнение работ по кап. ремонту фасада здания АСК</t>
  </si>
  <si>
    <t>-установка временного объекта пешеходного тоннеля               на лыжном стадионе                                 им.С.И.Ишмуратовой  по адресу:  Чел. обл.,  г. Златоуст,  кв. 152</t>
  </si>
  <si>
    <t>ремонт кровли спортивного зала по адресу: г. Златоуст,                   ул. им. В.И. Ленина, д. 1</t>
  </si>
  <si>
    <t xml:space="preserve">Монтаж охранного видеонаблюдения,  проверка сметной документации                по адресу:   г. Златоуст,                    ул. Полетаева, 9а </t>
  </si>
  <si>
    <t xml:space="preserve">Замена воздушной заслонки системы вентиляции  по адресу:    г. Златоуст,                      проспект им. Ю.А. Гагарина,      5 линия, д.3В </t>
  </si>
  <si>
    <t>Антитеррористические мероприятия  по адресу:                           г. Златоуст, ул. Карла Маркса, 28: Монтаж системы экстренного оповещения, работы по увеличению видеоархива системы видеонаблюдения</t>
  </si>
  <si>
    <t>Аварийные работы на теплотрассе по адресу:                     г. Златоуст,                                      ул. М.С. Урицкого,    д. 36а</t>
  </si>
  <si>
    <t>Текущие ремонтные работы спортивных залов  по адресам:      г. Златоуст,                         проспект им. Ю.А. Гагарина,                  5 линия, д.3В; поселок Строителей, д. 2;                                   ул. Рязанова, д. 31</t>
  </si>
  <si>
    <t>приобретение запчастей</t>
  </si>
  <si>
    <t>ремонтные работы 30тр+54,7тр</t>
  </si>
  <si>
    <t>сумма</t>
  </si>
  <si>
    <t xml:space="preserve">приложение </t>
  </si>
  <si>
    <t>замена водопровода (заключение по проверке сметной стоимости )</t>
  </si>
  <si>
    <t xml:space="preserve">наименование </t>
  </si>
  <si>
    <t>ежемесячное обсаживание холодильной  установки 45тр*4 мес.</t>
  </si>
  <si>
    <t xml:space="preserve">итого </t>
  </si>
  <si>
    <t>КБК</t>
  </si>
  <si>
    <t>ИТОГО</t>
  </si>
  <si>
    <r>
      <rPr>
        <sz val="22"/>
        <color theme="1"/>
        <rFont val="Times New Roman"/>
        <family val="1"/>
        <charset val="204"/>
      </rPr>
      <t>Смета</t>
    </r>
    <r>
      <rPr>
        <sz val="14"/>
        <color theme="1"/>
        <rFont val="Times New Roman"/>
        <family val="1"/>
        <charset val="204"/>
      </rPr>
      <t xml:space="preserve"> </t>
    </r>
  </si>
  <si>
    <t>119 1101 1200200800 622 241 000 400 2901</t>
  </si>
  <si>
    <t>119 1101 1200200800 622 241 307 400 1400</t>
  </si>
  <si>
    <t xml:space="preserve">ремонт стадиона (водоотведение) по адресу             г. Златоуст, проспект Гагарина,       5 -я линия д.3В                                   МАУДО СШ №3  </t>
  </si>
  <si>
    <t xml:space="preserve">Монтаж, проверка сметной документации автоматической пожарной сигнализации            и системы оповещения о пожаре в помещениях спортивной школы,   по адресу:                                              г. Златоуст,    ул. М.С. Урицкого, д. 36а                                       ул. Полетаева, 9а </t>
  </si>
  <si>
    <t xml:space="preserve">уточнение противопожарные мероприятия </t>
  </si>
  <si>
    <t xml:space="preserve">Ремонт холодильного оборудования </t>
  </si>
  <si>
    <t>Работы по погрузке, разгрузке грунта и планировке территории спецтехникой в целях подготовки зон для размещения дополнительных галерей, гимнастического городка, горы откатки и разминочного круга</t>
  </si>
  <si>
    <t>-монтаж охранно-пожарной сигнализации  на КХО,                              ул. Спортивная 1К</t>
  </si>
  <si>
    <t>уточнение Антитеррористические мероприятия</t>
  </si>
  <si>
    <t>разработка проектно-сметной документации сигнализации и системы оповещения в подтрибунных помещениях</t>
  </si>
  <si>
    <t>ПОЯСНИТЕЛЬНАЯ                                                                                                                                                                                                                                                                           Перечень объектов и работ по ремонтам, противопожарным  и антитеррористическим 
мероприятиям в учреждениях, 
подведомственных муниципальному казенному учреждению Управление по физической культуре и спорту Златоустовского городского округа на 2024 год</t>
  </si>
  <si>
    <t>Восстановление огнезащитного покрытия элементов конструкций кровли здания ФОК «Таганай», проверка сметной документации  по адресу:         г. Златоуст, пр. Мира, 45</t>
  </si>
  <si>
    <t>Проверка сметной документации на восстановление огнезащитного покрытия элементов кровли. Проверка работоспособности внутреннего и внешнего противопожарного водопровода, замена пожарного гидранта   г. Златоуст, пр. Мира 45</t>
  </si>
  <si>
    <t>Составление дефектных ведомостей и сметной документации на замену подвесных потолков, устройство козырька               над входом в гараж, замена электропроводки, ремонт кровли, устройства роликодрома. Ремонт пандуса для инвалидов по адресу: г. Златоуст, посёлок Айский,  дом 2, пр. Мира 45</t>
  </si>
  <si>
    <t>Выполнение работ по разработке рабочей документации систем пожарной сигнализации и оповещения о пожаре (СПС и СОУЭ) в соответствии с нормативной документацией для объекта: Нежилое здание-спорткомплекс, расположенного по адресу: г. Златоуст, улица имени Карла Маркса, д. 28.</t>
  </si>
  <si>
    <t>Ремонт холодильного оборудования (РЕЗЕРВ)</t>
  </si>
  <si>
    <t xml:space="preserve">Ремонт фасада зданий,  асфальтирование прилегающих территорий (сметная документация), по адресу:              г. Златоуст,                                   ул. М.С. Урицкого, д. 36а         ул. Полетаева, 9а </t>
  </si>
  <si>
    <t>Установка тревожной кнопки          и оповещения людей                 при чрезвычайных ситуациях, проверка сметной документации          по адресам:
г. Златоуст, ул. Полетаева, 9а,        ул. Урицкого, 36а</t>
  </si>
  <si>
    <t>Герметизация вентиляционных выходов на крышу в здании ФОК "Таганай", по адресу г. Златоуст, пр. Мира, д. 45, проверка сметной документации (уточнение №47- ЗГО от 01.11.2024г.)</t>
  </si>
  <si>
    <t>проверка сметной документации на благоустройство территории спортивного комплекса "Металлург" по адресу: г. Златоуст, улица имени Карла Маркса, д. 28/2</t>
  </si>
  <si>
    <t>должно быть ассиг</t>
  </si>
  <si>
    <t>Работы по составлению дефектной ведомости  и сметной документации на ремонт  универсальной спортивной площадки по адресу: г. Златоуст, улица имени Карла Маркса, д. 28</t>
  </si>
  <si>
    <t>Проверка работоспособности внутреннего и внешнего противопожарного водопровода, противопожарные двери, окна, перезарядка огнетушителей</t>
  </si>
  <si>
    <t>Проверка сметной документации Проверка работоспособности внутреннего и внешнего противопожарного водопровода, замена пожарного гидранта  г. Златоуст, пр. Мира 45</t>
  </si>
  <si>
    <t>уточнение по факту выполненных работ  ремонт</t>
  </si>
  <si>
    <t>- обеспечение телекоммуникационной инфраструктуры на объекте биатлонного стадиона (завершающий этап)</t>
  </si>
  <si>
    <t xml:space="preserve">-выполнение работ по устройству полимерных покрытий на трибунах </t>
  </si>
  <si>
    <t xml:space="preserve">-ремонтно-строительные работы по замене кровли трибун </t>
  </si>
  <si>
    <t>-работы по погрузке, разгрузке и перевозке (спецтехника) в целях подготовки зон к земляным работам для размещения дополнительных галерей, гимнастического городка, горы откатки лыжи разминочного круга</t>
  </si>
  <si>
    <t>-заказчику работы по вырубки лесных насаждений в целях подготовки зон к земляным работам для размещения дополнительных галерей, гимнастического городка, горы откатки лыжи разминочного круга</t>
  </si>
  <si>
    <t>-работы по перевозке (спецтехника) в целях подготовки зон к земляным работам для размещения дополнительных галерей, гимнастического городка, горы откатки лыжи разминочного круга</t>
  </si>
  <si>
    <t>-работы по монтажу (установке) монтаж полимерного настила зрительских трибун, резиновых ковриков командных домиков и тоннеля по адресу: г. Златоуст, ул. Спортивная 1К</t>
  </si>
  <si>
    <t>-текущий ремонт командных домиков</t>
  </si>
  <si>
    <t>-строительно-монтажные работы в помещениях и на территории МАУДО «СШОР № 1» расположенных по адресу: г. Златоуст ул. Спортивная 1 К</t>
  </si>
  <si>
    <t xml:space="preserve">-изготовление дизайн проекта санузлов </t>
  </si>
  <si>
    <t>-изготовление мастер-план (зонирование территории)</t>
  </si>
  <si>
    <t>-выполнение работ по  возведению Основания (постамента) под скульптуру,  на территории МАУДО «СШОР№1» г. Златоуст, ул. Спортивная 1К</t>
  </si>
  <si>
    <t>-работы по замене двери комнаты хранения оружия, решетчатой двери и решеток в комнате хранения оружия с монтажом</t>
  </si>
  <si>
    <t>-работы по вырубки лесных насаждений в целях подготовки зон к земляным работам для размещения дополнительных галерей, гимнастического городка, горы откатки лыжи разминочного круга</t>
  </si>
  <si>
    <t>-обеспечение телекоммуникационной инфраструктуры на объекте биатлонного стадиона (завершающий этап)</t>
  </si>
  <si>
    <t xml:space="preserve">Ремонт помещений № 27, 28, 29, 30, 31, 36  по адресу: г. Златоуст,                                               пл. 3  Интернационала, д. 12  (              </t>
  </si>
  <si>
    <t>Замена наружного трубопровода, работы по составлению сметной документации (заменена труб)  по адресу:              г. Златоуст,                                   ул. М.С. Урицкого, д. 36а</t>
  </si>
  <si>
    <t xml:space="preserve">Установка системы видеонаблюдения  г. Златоуст,    Мира,     д. 45, поселок Айский д.2 </t>
  </si>
  <si>
    <t>Замена подвесных потолков, устройство козырька над входом в гараж, замена электропроводки, ремонт кровли по адресу; г. Златоуст, поселок Айский, дом 2</t>
  </si>
  <si>
    <t xml:space="preserve">Работы по пересчёту сводного сметного расчета на капитальный ремонт подпорной стенки по адресу: г. Златоуст, улица имени Карла Маркса, д. 28. </t>
  </si>
  <si>
    <t xml:space="preserve">Проверка сметной документации, ремонт обходной дорожки бассейна "Сталь" в нежилом помещении 2-ой этап, монтаж алюминиевой двери по адресу: г. Златоуст,                                                       ул. имени Карла Макса  д.26, помещение 2 </t>
  </si>
  <si>
    <t>Работы на объекте            Лыжно-биатлонный комплекс  им.С.И.Ишмуратовой               по адресу г. Златоуст,                  ул. Спортивная, 1К,                    в том числе:</t>
  </si>
  <si>
    <t>Ремонт душевых спортивного зала по адресу: г. Златоуст,                ул. им. В.И. Ленина, д.1</t>
  </si>
  <si>
    <t>Ремонт помещений номер 1, 2, 3, 7, 8, 9 первого этажа и номер 1 подвала нежилого здания крыльца фасада здания, проверка проектно-сметной документации,  по адресу: г. Златоуст,                            ул. им. Карла Маркса, дом 28</t>
  </si>
  <si>
    <t xml:space="preserve">Замена водопровода, теплопровода спортивный комплекс Таганай по адресу. Златоуст, ,  пр. Мира 45;   ремонт наружных сетей теплоснабжения по адресу:  г. Златоуст, посёлок Айский) </t>
  </si>
  <si>
    <t>Проверка сметной документации на систему видеонаблюдения, замена водопровода, покраска коридоров, ремонт коридоров, лестничных маршей, герметизация вентиляционных выходов   (уточнение 47-ЗГО от  01.11.2024г. )</t>
  </si>
  <si>
    <t>Перечень объектов и работ по ремонтам, противопожарным  и антитеррористическим мероприятиям                                             в учреждениях, подведомственных муниципальному казенному учреждению                                                                      Управление по физической культуре и спорту Златоустовского городского округа на 2024 год</t>
  </si>
  <si>
    <t>Муниципальное автономное учреждение дополнительного образования «Спортивная школа олимпийского резерва                                                                                                                             № 1 им. С.И. Ишмуратовой Златоустовского городского округа»</t>
  </si>
  <si>
    <t>-монтаж охранно-пожарной сигнализации КХО, ул. Спортивная 1К</t>
  </si>
  <si>
    <t>Муниципальное автономное учреждение дополнительного образования «Спортивная школа                                                                                                  № 3 Златоустовского городского округа»</t>
  </si>
  <si>
    <t xml:space="preserve">Ремонт фасада зданий,  асфальтирование прилегающих территорий (сметная документация) по адресу:  г. Златоуст,  ул. М.С. Урицкого, д. 36а, ул. Полетаева, 9а </t>
  </si>
  <si>
    <t>ИТОГО по муниципальному бюджетному учреждению дополнительного образования «Спортивная школа № 4»</t>
  </si>
  <si>
    <t xml:space="preserve">Замена воздушной заслонки системы вентиляции  по адресу:    г. Златоуст,  проспект им. Ю.А. Гагарина, 5 линия, д.3В </t>
  </si>
  <si>
    <t xml:space="preserve">Ремонт помещений № 27, 28, 29, 30, 31, 36  по адресу: г. Златоуст,                           пл. 3  Интернационала, д. 12             </t>
  </si>
  <si>
    <t>-обеспечение инфраструктуры ТВ-производства на объекте биатлонного стадиона</t>
  </si>
  <si>
    <t>Замена наружного трубопровода, работы по составлению сметной документации (заменена труб)  по адресу:  г. Златоуст,    ул. М.С. Урицкого, д. 36а</t>
  </si>
  <si>
    <t xml:space="preserve">Монтаж, проверка сметной документации автоматической пожарной сигнализации  и системы оповещения о пожаре в помещениях спортивной школы,   по адресу:   г. Златоуст,    ул. М.С. Урицкого, д. 36а,   ул. Полетаева, 9а </t>
  </si>
  <si>
    <t>модернизация сетей инженерно-технического обеспечения, кабельных линий связи на столбовых опорах  с приобретением оборудования в лизинг. Г. Златоуст проспект Мира,9а (стадион "Таганай"</t>
  </si>
  <si>
    <t xml:space="preserve">47-ЗГО противопожарные мероприятия </t>
  </si>
  <si>
    <t xml:space="preserve">строительное монтажные работы по ремонту системы отопления под трибунных помещений 1,2 этажа МАУДО "СШОР № 1" </t>
  </si>
  <si>
    <t>Стройнадзор за ремонтно-строительными  работами по замене кровли трибун, по адресу: Челябинская обл., г. Златоуст, ул. Спортивная 1К</t>
  </si>
  <si>
    <t>монтаж козырьков трибун объекта "Лыжно-биатлонный комплекс им. С.И. Ишмуратовой"</t>
  </si>
  <si>
    <t>демонтаж ограждения кровли крыши АСК</t>
  </si>
  <si>
    <t xml:space="preserve">разработка рабочей документации по атоматизации систем пожарной защиты </t>
  </si>
  <si>
    <t>строительный контроль за работами по объекту " Устройство туалетов по адресу Челябинская область, город Златоуст, ул. Спортивная, 1 К, включающее в себя монтаж отопления, электрики, отделка помещений, сантехнические работы, обустройство канализации, фасада, благоустройство территории, вентиляция"</t>
  </si>
  <si>
    <t>строительно монтажные работы по устройству туалетов по адресу Челябинская область, город Златоуст, ул. Спортивная, 1 К, включающее в себя монтаж отопления, электрики, отделка помещений, сантехнические работы, обустройство канализации, фасада, благоустройство территории, вентиляция</t>
  </si>
  <si>
    <t>ремонт системы горячего водоснабжения в здании МАУДО СШОР № 1</t>
  </si>
  <si>
    <t>установка ревизионных люков в командных домиках</t>
  </si>
  <si>
    <t>устройство фундамента из винтовых свай под вакс-кабины</t>
  </si>
  <si>
    <t>модернизация сетей инженерно-технического обеспечения, кабельных линий связи на столбовых опорах  с приобретением оборудования в лизинг.</t>
  </si>
  <si>
    <t>Приобретение оборудования в лизинг, замена опор на металлические, укладка кабеля под землю, монтаж светодиодных светильников трассы  1,75 км, монтаж свтетодиодных светильников дополнительно на трассе 1,25 км, автоматизация</t>
  </si>
  <si>
    <t>демонтаж, монтаж светильников наружного освешения на кровле</t>
  </si>
  <si>
    <t>строительно-монтажные работы по сборке модулей "Вакс-кабин"</t>
  </si>
  <si>
    <t>инженерно-геологические работы  для капитального ремонта лыжеролерной трассы по адресу Спортивная 1 К</t>
  </si>
  <si>
    <t xml:space="preserve">капитальный ремонт подтрибунных помешений </t>
  </si>
  <si>
    <t>выполенеие инженерно-геодезический работ для проектирования капитального ремонта лыжероллерной трассы по адресу Спортивная 1 К</t>
  </si>
  <si>
    <t xml:space="preserve">монтаж системы видеонаблюдения </t>
  </si>
  <si>
    <t>строительный контроль за работами по объекту "Ремонт системы отопления подтрибунных помешений 1,2 этажи"</t>
  </si>
  <si>
    <t xml:space="preserve">ремонт стадиона (водоотведение) по адресу             г. Златоуст, проспект Гагарина,       5 -я линия д.3В                                  </t>
  </si>
  <si>
    <t>частичный ремонт трубопровода отопления, ревизия бойлера и опресовка системы отопления по адресу: г.  Златоуст, ул. Механическая. д.1а</t>
  </si>
  <si>
    <t xml:space="preserve">ремонт стадиона (монтаж покрытия мини-футбольного поля( с разметкой) из искуственноц травы; монтаж спортивного покрытия из наливной резины с пигментом для беговых дорожек; подготовительные работы под укладку мини-футбольного поля и беговой дорожки по адресу: г.  Златоуст, проспект Гагарина,       5 -я линия д.3В     </t>
  </si>
  <si>
    <t>работы по составлению дефектной ведомости  и сметной документации на ремонт  душевых спортивного зала  адресу: г. Златоуст,                   ул. им. В.И. Ленина, д. 1</t>
  </si>
  <si>
    <t xml:space="preserve">работы проверке сметной документации на ремонт  кровли спортитвного зала Булат по адресу:по адресу: г.  Златоуст, проспект Гагарина,       5 -я линия д.3В     </t>
  </si>
  <si>
    <t xml:space="preserve">услуги по осуществлению технического надзора за выполнением работ по водоотведению стадиона по адресу: г.  Златоуст, проспект Гагарина,       5 -я линия д.3В  </t>
  </si>
  <si>
    <t xml:space="preserve">работы по проверке сметной документации на ремонт стадиона по адресу: г.  Златоуст, проспект Гагарина,       5 -я линия д.3В  </t>
  </si>
  <si>
    <t>Проверка работоспособности внутреннего и внешнего противопожарного водопровода, противопожарной двери, окна, огнетушители (уточнение 47-ЗГО от  01.11.2024г. )</t>
  </si>
  <si>
    <t xml:space="preserve">строительный контроль за ремонтными работами  </t>
  </si>
  <si>
    <t>Ремонт помещений номер 1, 2, 3 первого этажа и номер 1,7,8,9 подвала нежилого здания крыльца фасада здания, проверка проектно-сметной документации,  по адресу: г. Златоуст,                            ул. им. Карла Маркса, д.28,  ул. Плеханова д.2</t>
  </si>
  <si>
    <t>уточнение расходов</t>
  </si>
  <si>
    <t>61-ЗГО  итого ремонт</t>
  </si>
  <si>
    <t xml:space="preserve">61-ЗГО итого противопожарные меропрития </t>
  </si>
  <si>
    <t xml:space="preserve">61-ЗГО  итого антитеррор </t>
  </si>
  <si>
    <t>Антитеррористические мероприятия по 47-ЗГО</t>
  </si>
  <si>
    <t xml:space="preserve"> ремонт по 47-ЗГО</t>
  </si>
  <si>
    <t xml:space="preserve">Проверка сметной документации, монтаж охранной и тревожной сигнализации  в нежилых помещениях - Спортивный комплекс "МАУДО СШОР № 8" по адресу:  г. Златоуст.,             ул. имени Карла Маркса д.28; Монтаж системы экстренного оповещения в помещении плавательного бассейна "Сталь" МАУДО "СШОР №8" по адресу: г. Златоуст,                                                       ул. имени Карла Макса  д.26, помещение 2 </t>
  </si>
  <si>
    <t xml:space="preserve">Установка системы видеонаблюдения, провекрка сметной документации выделения охранной сигнализации от пожарной по адресу;  г. Златоуст,    Мира,д. 9а, поселок Айский д.2 </t>
  </si>
  <si>
    <t>-стройнадзор за ремонтно-строительными  работами по замене кровли трибун, по адресу: Челябинская обл., г. Златоуст, ул. Спортивная 1К</t>
  </si>
  <si>
    <t>-демонтаж, монтаж светильников наружного освешения на кровле</t>
  </si>
  <si>
    <t>-демонтаж ограждения кровли крыши АСК</t>
  </si>
  <si>
    <t>-строительный контроль за ремонтными работами</t>
  </si>
  <si>
    <t>-ремонт системы горячего водоснабжения в здании МАУДО СШОР № 1</t>
  </si>
  <si>
    <t>-строительный контроль за работами по объекту "Ремонт системы отопления подтрибунных помешений 1,2 этажи"</t>
  </si>
  <si>
    <t>строительный контроль за выполнением работ по устройству полимерного покрытия на трибунах МАУДО "СШОР № 1"</t>
  </si>
  <si>
    <t>-устройство фундамента из винтовых свай под вакс-кабины</t>
  </si>
  <si>
    <t>-капитальный ремонт подтрибунных помешений</t>
  </si>
  <si>
    <t>-приобретение оборудования в лизинг, замена опор на металлические, укладка кабеля под землю, монтаж светодиодных светильников трассы  1,75 км, монтаж свтетодиодных светильников дополнительно на трассе 1,25 км, автоматизация</t>
  </si>
  <si>
    <t xml:space="preserve">-монтаж системы видеонаблюдения </t>
  </si>
  <si>
    <t>Работы на объекте Лыжно-биатлонный комплекс  им.С.И.Ишмуратовой                                       по адресу г. Златоуст, ул. Спортивная, 1К,  в том числе:</t>
  </si>
  <si>
    <t>-строительный контроль: работы                                       по устранению замечаний, выявленных Госстройнадзором (зрительские трибуны  и комментаторские кабины)</t>
  </si>
  <si>
    <t>-благоустройство территории (устройство ограждения стадиона                                 и подъездных путей на лыжном стадионе)</t>
  </si>
  <si>
    <t>-проверка сметной документации                         и осуществление технического (строительного) надзора                           за выполнением ремонтных работ</t>
  </si>
  <si>
    <t>-ремонтно-строительные работы                                 по замене кровли трибун (авансовый платеж 30%)</t>
  </si>
  <si>
    <t>-работы по погрузке, разгрузке                                и перевозке (спецтехника) в целях подготовки зон к земляным работам для размещения дополнительных галерей, гимнастического городка, горы откатки лыжи разминочного круга</t>
  </si>
  <si>
    <t>-строительно-монтажные работы                       в помещениях и на территории МАУДО «СШОР № 1» расположенных по адресу: г. Златоуст ул. Спортивная 1 К</t>
  </si>
  <si>
    <t>-работы по погрузке, разгрузке грунта                                и планировке территории спецтехникой в целях подготовки зон для размещения дополнительных галерей, гимнастического городка, горы откатки                          и разминочного круга</t>
  </si>
  <si>
    <t>-работы по замене двери комнаты хранения оружия, решетчатой двери                          и решеток в комнате хранения оружия                         с монтажом</t>
  </si>
  <si>
    <t>-работы по усилению пулеперехвата                                   в полузакрытом тире</t>
  </si>
  <si>
    <t xml:space="preserve">-строительное монтажные работы                                 по ремонту системы отопления                                  под трибунных помещений 1,2 этажа МАУДО "СШОР № 1" </t>
  </si>
  <si>
    <t>-монтаж козырьков трибун объекта "Лыжно-биатлонный комплекс                              им. С.И. Ишмуратовой"</t>
  </si>
  <si>
    <t xml:space="preserve">-разработка рабочей документации                               по атоматизации систем пожарной защиты </t>
  </si>
  <si>
    <t>-выполенеие инженерно-геодезический работ для проектирования капитального ремонта лыжероллерной трассы                        по адресу Спортивная 1 К</t>
  </si>
  <si>
    <t>-инженерно-геологические работы                                    для капитального ремонта лыжеролерной трассы по адресу Спортивная 1 К</t>
  </si>
  <si>
    <t>-строительный контроль за работами                                  по объекту " Устройство туалетов                              по адресу Челябинская область, город Златоуст, ул. Спортивная, 1 К, включающее в себя монтаж отопления, электрики, отделка помещений, сантехнические работы, обустройство канализации, фасада, благоустройство территории, вентиляция</t>
  </si>
  <si>
    <t>-строительно монтажные работы                                       по устройству туалетов                                  по адресу Челябинская область, город Златоуст, ул. Спортивная, 1 К, включающее в себя монтаж отопления, электрики, отделка помещений, сантехнические работы, обустройство канализации, фасада, благоустройство территории, вентиляция</t>
  </si>
  <si>
    <t>-модернизация сетей инженерно-технического обеспечения, кабельных линий связи на столбовых опорах                                                 с приобретением оборудования в лизинг</t>
  </si>
  <si>
    <t>ИТОГО по муниципальному автономному учреждению дополнительного образования «Спортивная школа олимпийского резерва № 1                                               им. С.И. Ишмуратовой Златоустовского городского округа»</t>
  </si>
  <si>
    <t>-работы по перевозке (спецтехника)                                               в целях подготовки зон к земляным работам для размещения дополнительных галерей, гимнастического городка, горы откатки лыжи разминочного круга</t>
  </si>
  <si>
    <t>-выполнение работ по  возведению основания (постамента) под скульптуру,  на территории МАУДО «СШОР № 1»                            г. Златоуст, ул. Спортивная 1К</t>
  </si>
  <si>
    <t>-установка ревизионных люков                            в командных домиках</t>
  </si>
  <si>
    <t>-строительный контроль                                        за выполнением работ по устройству полимерного покрытия на трибунах МАУДО "СШОР № 1"</t>
  </si>
  <si>
    <t>-строительно-монтажные работы                                     по сборке модулей "Вакс-кабин"</t>
  </si>
  <si>
    <t>Ремонт душевых спортивного зала                                 по адресу: г. Златоуст,                                                        ул. им. В.И. Ленина, д.1</t>
  </si>
  <si>
    <t>Аварийные работы на теплотрассе                                                                    по адресу:  г. Златоуст,                                       ул. М.С. Урицкого,  д. 36а</t>
  </si>
  <si>
    <t xml:space="preserve">Монтаж охранного видеонаблюдения,  проверка сметной документации                                       по адресу:   г. Златоуст, ул. Полетаева, 9а </t>
  </si>
  <si>
    <t>Установка тревожной кнопки                                         и оповещения людей  при чрезвычайных ситуациях, проверка сметной документации   по адресам: г. Златоуст, ул. Полетаева, 9а,   ул. Урицкого, 36а</t>
  </si>
  <si>
    <t>Антитеррористические мероприятия                                             по адресу:  г. Златоуст, проспект                                им. Ю.А. Гагарина, 5 линия,д.3В: Монтаж системы экстренного оповещения, монтаж охранной сигнализации, монтаж системы видеонаблюдения, приобретение жесткого  для системы видеонаблюдения, приобретение  металлодетектора. Проверка сметной документации</t>
  </si>
  <si>
    <t>Антитеррористические мероприятия                                     по адресу: г. Златоуст, ул. Карла Маркса, 28: Монтаж системы экстренного оповещения, работы по увеличению видеоархива системы видеонаблюдения. Проверка сметной документации</t>
  </si>
  <si>
    <t>Текущие ремонтные работы спортивных залов,    по адресам:            г. Златоуст,  проспект им. Ю.А. Гагарина,  5 линия, д.3В; поселок Строителей, д. 2;                                          ул. Рязанова, д. 31.  Составление сметной документации.</t>
  </si>
  <si>
    <t>Проверка сметной документации                                            на восстановление огнезащитного покрытия элементов кровли. Восстановление огнезащитного покрытия элементов конструкций кровли здания ФОК «Таганай»                 по адресу: г. Златоуст, пр. Мира, 45</t>
  </si>
  <si>
    <t>Составление дефектных ведомостей                                      и сметной документациина окраску стен, на замену подвесных потолков, устройство козырька               над входом в гараж, замена электропроводки, ремонт кровли, устройство роликодрома. Ремонт пандуса для инвалидов по адресу: г. Златоуст, посёлок Айский,  дом 2,  пр. Мира 45</t>
  </si>
  <si>
    <t>Замена водопровода, теплопровода спортивного комплекса Таганай                                    по адресу: г. Златоуст, ,  пр. Мира 45;               ремонт наружных сетей теплоснабжения по адресу: г. Златоуст, посёлок Айский дом 2</t>
  </si>
  <si>
    <t>Герметизация вентиляционных выходов на крышу в здании ФОК "Таганай",                                   по адресу г. Златоуст, пр. Мира, д. 45, проверка сметной документации</t>
  </si>
  <si>
    <t xml:space="preserve">Проверка сметной документации                                  на систему видеонаблюдения, замена водопровода, покраска коридоров, ремонт коридоров, лестничных маршей, герметизация вентиляционных выходов  </t>
  </si>
  <si>
    <t>Ремонт баскетбольной и волейбольной площадки (нанесение разметки), отсыпка футбольного поля (приобретение материалов)</t>
  </si>
  <si>
    <t xml:space="preserve">Проверка сметной документации, монтаж охранной и тревожной сигнализации  в нежилых помещениях - Спортивный комплекс "МАУДО СШОР № 8" по адресу:  г. Златоуст.,                                        ул. имени Карла Маркса д.28; Проверка сметной документации, монтаж системы экстренного оповещения в помещении плавательного бассейна "Сталь" МАУДО "СШОР № 8" по адресу: г. Златоуст,                                                       ул. имени Карла Макса  д. 26, помещение 2 </t>
  </si>
  <si>
    <t>Выполнение работ по разработке рабочей документации систем пожарной сигнализации и оповещения о пожаре (СПС и СОУЭ) в соответствии                               с нормативной документацией                           для объекта: Нежилое здание-спорткомплекс, расположенного                            по адресу: г. Златоуст, улица имени Карла Маркса, д. 28</t>
  </si>
  <si>
    <t>проверка сметной документации                                    на благоустройство территории спортивного комплекса "Металлург"                           по адресу: г. Златоуст, улица имени Карла Маркса, д. 28/2</t>
  </si>
  <si>
    <t>Работы по составлению дефектной ведомости  и сметной документации                                 на ремонт  универсальной спортивной площадки по адресу: г. Златоуст, улица имени Карла Маркса, д. 28</t>
  </si>
  <si>
    <t xml:space="preserve">Проверка сметной документации, ремонт обходной дорожки бассейна "Сталь" в нежилом помещении  2-ой этап, монтаж алюминиевой двери                                     по адресу: г. Златоуст, ул. имени Карла Макса  д.26, помещение 2 </t>
  </si>
  <si>
    <t>модернизация сетей инженерно-технического обеспечения, кабельных линий связи на столбовых опорах                                             с приобретением оборудования                            в лизинг. Г. Златоуст проспект Мира,9а (стадион "Таганай"</t>
  </si>
  <si>
    <t>от 26.12.2024 г. № 3758-р/АДМ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</si>
</sst>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5">
    <xf numFmtId="0" fontId="0" fillId="0" borderId="0" xfId="0"/>
    <xf numFmtId="4" fontId="2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0" applyNumberFormat="1" applyFont="1" applyAlignment="1">
      <alignment horizontal="justify"/>
    </xf>
    <xf numFmtId="4" fontId="1" fillId="0" borderId="0" xfId="0" applyNumberFormat="1" applyFont="1"/>
    <xf numFmtId="4" fontId="5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justify" wrapText="1"/>
    </xf>
    <xf numFmtId="4" fontId="2" fillId="2" borderId="1" xfId="0" applyNumberFormat="1" applyFont="1" applyFill="1" applyBorder="1" applyAlignment="1">
      <alignment horizontal="justify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top" wrapText="1"/>
    </xf>
    <xf numFmtId="4" fontId="10" fillId="3" borderId="0" xfId="0" applyNumberFormat="1" applyFont="1" applyFill="1"/>
    <xf numFmtId="4" fontId="0" fillId="3" borderId="0" xfId="0" applyNumberFormat="1" applyFill="1"/>
    <xf numFmtId="0" fontId="11" fillId="3" borderId="5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wrapText="1"/>
    </xf>
    <xf numFmtId="4" fontId="0" fillId="3" borderId="1" xfId="0" applyNumberFormat="1" applyFill="1" applyBorder="1"/>
    <xf numFmtId="4" fontId="12" fillId="3" borderId="6" xfId="0" applyNumberFormat="1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right" vertical="center" wrapText="1"/>
    </xf>
    <xf numFmtId="4" fontId="14" fillId="3" borderId="1" xfId="0" applyNumberFormat="1" applyFont="1" applyFill="1" applyBorder="1" applyAlignment="1">
      <alignment horizontal="right" vertical="center" wrapText="1"/>
    </xf>
    <xf numFmtId="4" fontId="0" fillId="3" borderId="1" xfId="0" applyNumberForma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 applyProtection="1">
      <alignment horizontal="center" vertical="center"/>
      <protection locked="0"/>
    </xf>
    <xf numFmtId="4" fontId="0" fillId="3" borderId="1" xfId="0" applyNumberFormat="1" applyFill="1" applyBorder="1" applyAlignment="1">
      <alignment vertical="center"/>
    </xf>
    <xf numFmtId="4" fontId="14" fillId="3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4" fontId="1" fillId="3" borderId="0" xfId="0" applyNumberFormat="1" applyFont="1" applyFill="1"/>
    <xf numFmtId="4" fontId="5" fillId="3" borderId="6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justify" wrapText="1"/>
    </xf>
    <xf numFmtId="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justify" vertical="center" wrapText="1"/>
      <protection locked="0"/>
    </xf>
    <xf numFmtId="4" fontId="1" fillId="3" borderId="1" xfId="0" applyNumberFormat="1" applyFont="1" applyFill="1" applyBorder="1"/>
    <xf numFmtId="4" fontId="1" fillId="3" borderId="1" xfId="0" applyNumberFormat="1" applyFont="1" applyFill="1" applyBorder="1" applyAlignment="1">
      <alignment horizontal="right" vertical="center" wrapText="1"/>
    </xf>
    <xf numFmtId="4" fontId="2" fillId="2" borderId="7" xfId="0" applyNumberFormat="1" applyFont="1" applyFill="1" applyBorder="1" applyAlignment="1">
      <alignment horizontal="justify" wrapText="1"/>
    </xf>
    <xf numFmtId="49" fontId="2" fillId="3" borderId="10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2" fillId="3" borderId="0" xfId="0" applyNumberFormat="1" applyFont="1" applyFill="1"/>
    <xf numFmtId="4" fontId="16" fillId="3" borderId="0" xfId="0" applyNumberFormat="1" applyFont="1" applyFill="1"/>
    <xf numFmtId="4" fontId="16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16" fillId="3" borderId="1" xfId="0" applyNumberFormat="1" applyFont="1" applyFill="1" applyBorder="1" applyAlignment="1">
      <alignment horizontal="right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4" fontId="5" fillId="3" borderId="0" xfId="0" applyNumberFormat="1" applyFont="1" applyFill="1"/>
    <xf numFmtId="49" fontId="5" fillId="3" borderId="0" xfId="0" applyNumberFormat="1" applyFont="1" applyFill="1" applyAlignment="1">
      <alignment wrapText="1"/>
    </xf>
    <xf numFmtId="49" fontId="2" fillId="3" borderId="1" xfId="0" applyNumberFormat="1" applyFont="1" applyFill="1" applyBorder="1" applyAlignment="1" applyProtection="1">
      <alignment horizontal="left" vertical="center" wrapText="1"/>
      <protection locked="0"/>
    </xf>
    <xf numFmtId="4" fontId="16" fillId="3" borderId="1" xfId="0" applyNumberFormat="1" applyFont="1" applyFill="1" applyBorder="1"/>
    <xf numFmtId="49" fontId="2" fillId="3" borderId="1" xfId="0" applyNumberFormat="1" applyFont="1" applyFill="1" applyBorder="1" applyAlignment="1">
      <alignment horizontal="justify" vertical="center" wrapText="1"/>
    </xf>
    <xf numFmtId="4" fontId="16" fillId="3" borderId="1" xfId="0" applyNumberFormat="1" applyFont="1" applyFill="1" applyBorder="1" applyAlignment="1">
      <alignment horizontal="center" wrapText="1"/>
    </xf>
    <xf numFmtId="4" fontId="3" fillId="3" borderId="1" xfId="0" applyNumberFormat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/>
    <xf numFmtId="3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3" borderId="1" xfId="0" applyNumberFormat="1" applyFont="1" applyFill="1" applyBorder="1" applyAlignment="1">
      <alignment vertical="center" wrapText="1"/>
    </xf>
    <xf numFmtId="49" fontId="2" fillId="3" borderId="7" xfId="0" applyNumberFormat="1" applyFont="1" applyFill="1" applyBorder="1" applyAlignment="1">
      <alignment horizontal="justify" vertical="top" wrapText="1"/>
    </xf>
    <xf numFmtId="49" fontId="2" fillId="3" borderId="1" xfId="0" applyNumberFormat="1" applyFont="1" applyFill="1" applyBorder="1" applyAlignment="1">
      <alignment vertical="top" wrapText="1"/>
    </xf>
    <xf numFmtId="49" fontId="2" fillId="3" borderId="7" xfId="0" applyNumberFormat="1" applyFont="1" applyFill="1" applyBorder="1" applyAlignment="1">
      <alignment vertical="top" wrapText="1"/>
    </xf>
    <xf numFmtId="49" fontId="2" fillId="3" borderId="7" xfId="0" applyNumberFormat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4" fontId="16" fillId="3" borderId="0" xfId="0" applyNumberFormat="1" applyFont="1" applyFill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49" fontId="1" fillId="0" borderId="0" xfId="0" applyNumberFormat="1" applyFont="1"/>
    <xf numFmtId="0" fontId="1" fillId="0" borderId="7" xfId="0" applyFont="1" applyBorder="1" applyAlignment="1">
      <alignment wrapText="1"/>
    </xf>
    <xf numFmtId="0" fontId="1" fillId="0" borderId="7" xfId="0" applyFont="1" applyBorder="1"/>
    <xf numFmtId="49" fontId="19" fillId="0" borderId="1" xfId="0" applyNumberFormat="1" applyFont="1" applyBorder="1"/>
    <xf numFmtId="49" fontId="19" fillId="0" borderId="1" xfId="0" applyNumberFormat="1" applyFont="1" applyBorder="1" applyProtection="1">
      <protection locked="0"/>
    </xf>
    <xf numFmtId="4" fontId="19" fillId="0" borderId="1" xfId="0" applyNumberFormat="1" applyFont="1" applyBorder="1"/>
    <xf numFmtId="0" fontId="19" fillId="0" borderId="0" xfId="0" applyFont="1"/>
    <xf numFmtId="0" fontId="19" fillId="0" borderId="1" xfId="0" applyFont="1" applyBorder="1"/>
    <xf numFmtId="0" fontId="1" fillId="0" borderId="9" xfId="0" applyFont="1" applyBorder="1" applyAlignment="1">
      <alignment horizontal="center" vertical="center"/>
    </xf>
    <xf numFmtId="4" fontId="19" fillId="0" borderId="0" xfId="0" applyNumberFormat="1" applyFont="1"/>
    <xf numFmtId="0" fontId="0" fillId="0" borderId="8" xfId="0" applyBorder="1" applyAlignment="1">
      <alignment horizontal="center" vertical="top" wrapText="1"/>
    </xf>
    <xf numFmtId="0" fontId="0" fillId="0" borderId="8" xfId="0" applyBorder="1" applyAlignment="1">
      <alignment horizontal="center" vertical="center" wrapText="1"/>
    </xf>
    <xf numFmtId="0" fontId="5" fillId="3" borderId="0" xfId="0" applyFont="1" applyFill="1"/>
    <xf numFmtId="0" fontId="8" fillId="3" borderId="8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left" vertical="top" wrapText="1"/>
    </xf>
    <xf numFmtId="4" fontId="21" fillId="3" borderId="0" xfId="0" applyNumberFormat="1" applyFont="1" applyFill="1"/>
    <xf numFmtId="0" fontId="22" fillId="3" borderId="8" xfId="0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right" vertical="center" wrapText="1"/>
    </xf>
    <xf numFmtId="4" fontId="21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21" fillId="3" borderId="1" xfId="0" applyNumberFormat="1" applyFont="1" applyFill="1" applyBorder="1" applyAlignment="1">
      <alignment horizontal="right" vertical="center" wrapText="1"/>
    </xf>
    <xf numFmtId="4" fontId="21" fillId="3" borderId="1" xfId="0" applyNumberFormat="1" applyFont="1" applyFill="1" applyBorder="1" applyAlignment="1">
      <alignment vertical="center" wrapText="1"/>
    </xf>
    <xf numFmtId="4" fontId="21" fillId="3" borderId="1" xfId="0" applyNumberFormat="1" applyFont="1" applyFill="1" applyBorder="1"/>
    <xf numFmtId="4" fontId="21" fillId="3" borderId="1" xfId="0" applyNumberFormat="1" applyFont="1" applyFill="1" applyBorder="1" applyAlignment="1">
      <alignment horizontal="center" vertical="center" wrapText="1"/>
    </xf>
    <xf numFmtId="4" fontId="23" fillId="3" borderId="1" xfId="0" applyNumberFormat="1" applyFont="1" applyFill="1" applyBorder="1"/>
    <xf numFmtId="4" fontId="21" fillId="3" borderId="1" xfId="0" applyNumberFormat="1" applyFont="1" applyFill="1" applyBorder="1" applyAlignment="1">
      <alignment horizontal="right" vertical="center"/>
    </xf>
    <xf numFmtId="4" fontId="21" fillId="3" borderId="0" xfId="0" applyNumberFormat="1" applyFont="1" applyFill="1" applyAlignment="1">
      <alignment horizontal="center"/>
    </xf>
    <xf numFmtId="0" fontId="23" fillId="3" borderId="0" xfId="0" applyFont="1" applyFill="1"/>
    <xf numFmtId="4" fontId="4" fillId="3" borderId="9" xfId="0" applyNumberFormat="1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4" fontId="19" fillId="3" borderId="1" xfId="0" applyNumberFormat="1" applyFont="1" applyFill="1" applyBorder="1"/>
    <xf numFmtId="4" fontId="19" fillId="3" borderId="1" xfId="0" applyNumberFormat="1" applyFont="1" applyFill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right" vertical="center"/>
    </xf>
    <xf numFmtId="4" fontId="19" fillId="3" borderId="0" xfId="0" applyNumberFormat="1" applyFont="1" applyFill="1"/>
    <xf numFmtId="4" fontId="4" fillId="4" borderId="9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19" fillId="4" borderId="1" xfId="0" applyNumberFormat="1" applyFont="1" applyFill="1" applyBorder="1" applyAlignment="1">
      <alignment horizontal="right" vertical="center" wrapText="1"/>
    </xf>
    <xf numFmtId="4" fontId="16" fillId="4" borderId="1" xfId="0" applyNumberFormat="1" applyFont="1" applyFill="1" applyBorder="1" applyAlignment="1">
      <alignment horizontal="right" vertical="center" wrapText="1"/>
    </xf>
    <xf numFmtId="4" fontId="21" fillId="4" borderId="1" xfId="0" applyNumberFormat="1" applyFon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19" fillId="4" borderId="1" xfId="0" applyNumberFormat="1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wrapText="1"/>
    </xf>
    <xf numFmtId="4" fontId="21" fillId="4" borderId="1" xfId="0" applyNumberFormat="1" applyFont="1" applyFill="1" applyBorder="1" applyAlignment="1">
      <alignment horizontal="center" wrapText="1"/>
    </xf>
    <xf numFmtId="4" fontId="23" fillId="3" borderId="1" xfId="0" applyNumberFormat="1" applyFont="1" applyFill="1" applyBorder="1" applyAlignment="1">
      <alignment horizontal="right" vertical="center"/>
    </xf>
    <xf numFmtId="4" fontId="23" fillId="3" borderId="1" xfId="0" applyNumberFormat="1" applyFont="1" applyFill="1" applyBorder="1" applyAlignment="1">
      <alignment vertical="center"/>
    </xf>
    <xf numFmtId="4" fontId="23" fillId="3" borderId="0" xfId="0" applyNumberFormat="1" applyFont="1" applyFill="1"/>
    <xf numFmtId="0" fontId="0" fillId="3" borderId="2" xfId="0" applyFill="1" applyBorder="1" applyAlignment="1">
      <alignment horizontal="left" vertical="top" wrapText="1"/>
    </xf>
    <xf numFmtId="1" fontId="0" fillId="3" borderId="8" xfId="0" applyNumberForma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9" fontId="5" fillId="3" borderId="0" xfId="0" applyNumberFormat="1" applyFont="1" applyFill="1" applyAlignment="1">
      <alignment horizontal="justify" wrapText="1"/>
    </xf>
    <xf numFmtId="49" fontId="2" fillId="3" borderId="1" xfId="0" applyNumberFormat="1" applyFont="1" applyFill="1" applyBorder="1" applyAlignment="1">
      <alignment horizontal="justify" vertical="top" wrapText="1"/>
    </xf>
    <xf numFmtId="4" fontId="3" fillId="3" borderId="1" xfId="0" applyNumberFormat="1" applyFont="1" applyFill="1" applyBorder="1" applyAlignment="1">
      <alignment horizontal="justify" vertical="center" wrapText="1"/>
    </xf>
    <xf numFmtId="49" fontId="2" fillId="3" borderId="1" xfId="0" applyNumberFormat="1" applyFont="1" applyFill="1" applyBorder="1" applyAlignment="1" applyProtection="1">
      <alignment horizontal="justify" vertical="center" wrapText="1"/>
      <protection locked="0"/>
    </xf>
    <xf numFmtId="4" fontId="5" fillId="3" borderId="0" xfId="0" applyNumberFormat="1" applyFont="1" applyFill="1" applyAlignment="1">
      <alignment horizontal="justify" wrapText="1"/>
    </xf>
    <xf numFmtId="4" fontId="19" fillId="3" borderId="0" xfId="0" applyNumberFormat="1" applyFont="1" applyFill="1" applyAlignment="1">
      <alignment horizontal="center"/>
    </xf>
    <xf numFmtId="4" fontId="5" fillId="3" borderId="0" xfId="0" applyNumberFormat="1" applyFont="1" applyFill="1" applyAlignment="1">
      <alignment horizontal="center"/>
    </xf>
    <xf numFmtId="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3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4" fillId="3" borderId="9" xfId="0" applyFont="1" applyFill="1" applyBorder="1" applyAlignment="1">
      <alignment horizontal="center" vertical="center" wrapText="1"/>
    </xf>
    <xf numFmtId="4" fontId="19" fillId="4" borderId="9" xfId="0" applyNumberFormat="1" applyFont="1" applyFill="1" applyBorder="1" applyAlignment="1">
      <alignment horizontal="right" vertical="center" wrapText="1"/>
    </xf>
    <xf numFmtId="4" fontId="19" fillId="4" borderId="8" xfId="0" applyNumberFormat="1" applyFont="1" applyFill="1" applyBorder="1" applyAlignment="1">
      <alignment horizontal="right" vertical="center" wrapText="1"/>
    </xf>
    <xf numFmtId="4" fontId="2" fillId="3" borderId="1" xfId="0" applyNumberFormat="1" applyFont="1" applyFill="1" applyBorder="1"/>
    <xf numFmtId="4" fontId="5" fillId="3" borderId="1" xfId="0" applyNumberFormat="1" applyFont="1" applyFill="1" applyBorder="1" applyAlignment="1">
      <alignment wrapText="1"/>
    </xf>
    <xf numFmtId="4" fontId="2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 wrapText="1"/>
    </xf>
    <xf numFmtId="4" fontId="21" fillId="3" borderId="1" xfId="0" applyNumberFormat="1" applyFont="1" applyFill="1" applyBorder="1" applyAlignment="1">
      <alignment vertical="center"/>
    </xf>
    <xf numFmtId="4" fontId="21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21" fillId="5" borderId="1" xfId="0" applyNumberFormat="1" applyFont="1" applyFill="1" applyBorder="1" applyAlignment="1">
      <alignment vertical="center"/>
    </xf>
    <xf numFmtId="4" fontId="19" fillId="5" borderId="1" xfId="0" applyNumberFormat="1" applyFont="1" applyFill="1" applyBorder="1" applyAlignment="1">
      <alignment horizontal="right" vertical="center" wrapText="1"/>
    </xf>
    <xf numFmtId="4" fontId="5" fillId="5" borderId="1" xfId="0" applyNumberFormat="1" applyFont="1" applyFill="1" applyBorder="1"/>
    <xf numFmtId="4" fontId="23" fillId="3" borderId="1" xfId="0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justify" vertical="center" wrapText="1"/>
    </xf>
    <xf numFmtId="4" fontId="2" fillId="3" borderId="1" xfId="0" applyNumberFormat="1" applyFont="1" applyFill="1" applyBorder="1" applyAlignment="1">
      <alignment horizontal="justify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" fontId="2" fillId="3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4" fontId="2" fillId="3" borderId="9" xfId="0" applyNumberFormat="1" applyFont="1" applyFill="1" applyBorder="1" applyAlignment="1">
      <alignment horizontal="center" vertical="top" wrapText="1"/>
    </xf>
    <xf numFmtId="4" fontId="2" fillId="3" borderId="10" xfId="0" applyNumberFormat="1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2" fillId="3" borderId="1" xfId="0" applyFont="1" applyFill="1" applyBorder="1" applyAlignment="1">
      <alignment horizontal="justify" vertical="center" wrapText="1"/>
    </xf>
    <xf numFmtId="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8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justify" vertical="center" wrapText="1"/>
    </xf>
    <xf numFmtId="1" fontId="3" fillId="3" borderId="1" xfId="0" applyNumberFormat="1" applyFont="1" applyFill="1" applyBorder="1" applyAlignment="1">
      <alignment horizontal="left" vertical="center" wrapText="1"/>
    </xf>
    <xf numFmtId="1" fontId="8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" fontId="1" fillId="3" borderId="0" xfId="0" applyNumberFormat="1" applyFont="1" applyFill="1" applyAlignment="1">
      <alignment horizontal="center" wrapText="1"/>
    </xf>
    <xf numFmtId="0" fontId="5" fillId="3" borderId="0" xfId="0" applyFont="1" applyFill="1"/>
    <xf numFmtId="4" fontId="1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top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" fontId="3" fillId="3" borderId="9" xfId="0" applyNumberFormat="1" applyFont="1" applyFill="1" applyBorder="1" applyAlignment="1">
      <alignment horizontal="center" vertical="top" wrapText="1"/>
    </xf>
    <xf numFmtId="4" fontId="3" fillId="3" borderId="10" xfId="0" applyNumberFormat="1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left" vertical="center" wrapText="1"/>
    </xf>
    <xf numFmtId="0" fontId="0" fillId="3" borderId="10" xfId="0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left" wrapText="1"/>
    </xf>
    <xf numFmtId="4" fontId="3" fillId="3" borderId="1" xfId="0" applyNumberFormat="1" applyFont="1" applyFill="1" applyBorder="1" applyAlignment="1">
      <alignment horizontal="justify" wrapText="1"/>
    </xf>
    <xf numFmtId="4" fontId="3" fillId="3" borderId="1" xfId="0" applyNumberFormat="1" applyFont="1" applyFill="1" applyBorder="1" applyAlignment="1">
      <alignment horizontal="left" vertical="center" wrapText="1"/>
    </xf>
    <xf numFmtId="1" fontId="3" fillId="3" borderId="9" xfId="0" applyNumberFormat="1" applyFont="1" applyFill="1" applyBorder="1" applyAlignment="1">
      <alignment horizontal="left" vertical="center" wrapText="1"/>
    </xf>
    <xf numFmtId="1" fontId="0" fillId="3" borderId="10" xfId="0" applyNumberFormat="1" applyFill="1" applyBorder="1" applyAlignment="1">
      <alignment horizontal="left" vertical="center" wrapText="1"/>
    </xf>
    <xf numFmtId="4" fontId="3" fillId="3" borderId="14" xfId="0" applyNumberFormat="1" applyFont="1" applyFill="1" applyBorder="1" applyAlignment="1">
      <alignment horizontal="left" vertical="top" wrapText="1"/>
    </xf>
    <xf numFmtId="0" fontId="0" fillId="3" borderId="15" xfId="0" applyFill="1" applyBorder="1" applyAlignment="1">
      <alignment horizontal="left" vertical="top" wrapText="1"/>
    </xf>
    <xf numFmtId="0" fontId="2" fillId="3" borderId="9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horizontal="left" vertical="center" wrapText="1"/>
    </xf>
    <xf numFmtId="49" fontId="1" fillId="0" borderId="9" xfId="0" applyNumberFormat="1" applyFont="1" applyBorder="1" applyAlignment="1">
      <alignment wrapText="1"/>
    </xf>
    <xf numFmtId="0" fontId="0" fillId="0" borderId="8" xfId="0" applyBorder="1"/>
    <xf numFmtId="0" fontId="0" fillId="0" borderId="8" xfId="0" applyBorder="1" applyAlignment="1">
      <alignment wrapText="1"/>
    </xf>
    <xf numFmtId="4" fontId="6" fillId="0" borderId="6" xfId="0" applyNumberFormat="1" applyFont="1" applyBorder="1" applyAlignment="1">
      <alignment horizontal="justify" wrapText="1"/>
    </xf>
    <xf numFmtId="4" fontId="6" fillId="0" borderId="5" xfId="0" applyNumberFormat="1" applyFont="1" applyBorder="1" applyAlignment="1">
      <alignment horizontal="justify" wrapText="1"/>
    </xf>
    <xf numFmtId="4" fontId="6" fillId="0" borderId="7" xfId="0" applyNumberFormat="1" applyFont="1" applyBorder="1" applyAlignment="1">
      <alignment horizontal="justify" wrapText="1"/>
    </xf>
    <xf numFmtId="4" fontId="6" fillId="0" borderId="6" xfId="0" applyNumberFormat="1" applyFont="1" applyBorder="1" applyAlignment="1">
      <alignment horizontal="center" wrapText="1"/>
    </xf>
    <xf numFmtId="4" fontId="6" fillId="0" borderId="5" xfId="0" applyNumberFormat="1" applyFont="1" applyBorder="1" applyAlignment="1">
      <alignment horizontal="center" wrapText="1"/>
    </xf>
    <xf numFmtId="4" fontId="6" fillId="0" borderId="7" xfId="0" applyNumberFormat="1" applyFont="1" applyBorder="1" applyAlignment="1">
      <alignment horizontal="center" wrapText="1"/>
    </xf>
    <xf numFmtId="4" fontId="6" fillId="2" borderId="6" xfId="0" applyNumberFormat="1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left" vertical="center" wrapText="1"/>
    </xf>
    <xf numFmtId="4" fontId="6" fillId="2" borderId="7" xfId="0" applyNumberFormat="1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left" wrapText="1"/>
    </xf>
    <xf numFmtId="4" fontId="4" fillId="2" borderId="5" xfId="0" applyNumberFormat="1" applyFont="1" applyFill="1" applyBorder="1" applyAlignment="1">
      <alignment horizontal="left" wrapText="1"/>
    </xf>
    <xf numFmtId="4" fontId="4" fillId="2" borderId="7" xfId="0" applyNumberFormat="1" applyFont="1" applyFill="1" applyBorder="1" applyAlignment="1">
      <alignment horizontal="left" wrapText="1"/>
    </xf>
    <xf numFmtId="4" fontId="4" fillId="2" borderId="6" xfId="0" applyNumberFormat="1" applyFont="1" applyFill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left" vertical="center" wrapText="1"/>
    </xf>
    <xf numFmtId="4" fontId="6" fillId="3" borderId="5" xfId="0" applyNumberFormat="1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4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" fontId="1" fillId="0" borderId="0" xfId="0" applyNumberFormat="1" applyFont="1" applyAlignment="1">
      <alignment horizontal="center" wrapText="1"/>
    </xf>
    <xf numFmtId="4" fontId="1" fillId="0" borderId="2" xfId="0" applyNumberFormat="1" applyFont="1" applyBorder="1" applyAlignment="1">
      <alignment horizontal="center"/>
    </xf>
    <xf numFmtId="4" fontId="2" fillId="3" borderId="6" xfId="0" applyNumberFormat="1" applyFont="1" applyFill="1" applyBorder="1" applyAlignment="1">
      <alignment horizontal="center" wrapText="1"/>
    </xf>
    <xf numFmtId="4" fontId="2" fillId="3" borderId="7" xfId="0" applyNumberFormat="1" applyFont="1" applyFill="1" applyBorder="1" applyAlignment="1">
      <alignment horizontal="center" wrapText="1"/>
    </xf>
    <xf numFmtId="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center" wrapText="1"/>
    </xf>
    <xf numFmtId="4" fontId="2" fillId="3" borderId="8" xfId="0" applyNumberFormat="1" applyFont="1" applyFill="1" applyBorder="1" applyAlignment="1">
      <alignment horizont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14" fillId="3" borderId="6" xfId="0" applyNumberFormat="1" applyFont="1" applyFill="1" applyBorder="1" applyAlignment="1">
      <alignment horizontal="center" wrapText="1"/>
    </xf>
    <xf numFmtId="4" fontId="14" fillId="3" borderId="7" xfId="0" applyNumberFormat="1" applyFont="1" applyFill="1" applyBorder="1" applyAlignment="1">
      <alignment horizontal="center" wrapText="1"/>
    </xf>
    <xf numFmtId="4" fontId="1" fillId="0" borderId="0" xfId="0" applyNumberFormat="1" applyFont="1" applyAlignment="1">
      <alignment horizontal="center"/>
    </xf>
    <xf numFmtId="0" fontId="0" fillId="3" borderId="0" xfId="0" applyFill="1"/>
    <xf numFmtId="4" fontId="1" fillId="3" borderId="2" xfId="0" applyNumberFormat="1" applyFont="1" applyFill="1" applyBorder="1" applyAlignment="1">
      <alignment horizontal="center"/>
    </xf>
    <xf numFmtId="4" fontId="1" fillId="3" borderId="0" xfId="0" applyNumberFormat="1" applyFont="1" applyFill="1" applyAlignment="1">
      <alignment horizontal="center"/>
    </xf>
    <xf numFmtId="4" fontId="1" fillId="3" borderId="9" xfId="0" applyNumberFormat="1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3"/>
  <sheetViews>
    <sheetView tabSelected="1" zoomScale="80" zoomScaleNormal="80" workbookViewId="0">
      <selection activeCell="L7" sqref="L7"/>
    </sheetView>
  </sheetViews>
  <sheetFormatPr defaultColWidth="9.21875" defaultRowHeight="84" customHeight="1" x14ac:dyDescent="0.35"/>
  <cols>
    <col min="1" max="1" width="4.44140625" style="80" customWidth="1"/>
    <col min="2" max="2" width="27.44140625" style="168" customWidth="1"/>
    <col min="3" max="3" width="39.77734375" style="162" customWidth="1"/>
    <col min="4" max="4" width="17.77734375" style="100" customWidth="1"/>
    <col min="5" max="5" width="19.21875" style="160" customWidth="1"/>
    <col min="6" max="6" width="23.77734375" style="160" customWidth="1"/>
    <col min="7" max="7" width="12.44140625" style="80" hidden="1" customWidth="1"/>
    <col min="8" max="8" width="11.5546875" style="80" hidden="1" customWidth="1"/>
    <col min="9" max="9" width="0" style="80" hidden="1" customWidth="1"/>
    <col min="10" max="10" width="9.77734375" style="80" hidden="1" customWidth="1"/>
    <col min="11" max="16384" width="9.21875" style="80"/>
  </cols>
  <sheetData>
    <row r="1" spans="1:6" ht="24" customHeight="1" x14ac:dyDescent="0.35">
      <c r="E1" s="161" t="s">
        <v>135</v>
      </c>
      <c r="F1" s="100"/>
    </row>
    <row r="2" spans="1:6" ht="18.75" customHeight="1" x14ac:dyDescent="0.35">
      <c r="E2" s="161" t="s">
        <v>1</v>
      </c>
      <c r="F2" s="100"/>
    </row>
    <row r="3" spans="1:6" ht="19.5" customHeight="1" x14ac:dyDescent="0.35">
      <c r="E3" s="161" t="s">
        <v>142</v>
      </c>
      <c r="F3" s="100"/>
    </row>
    <row r="4" spans="1:6" ht="20.25" customHeight="1" x14ac:dyDescent="0.35">
      <c r="E4" s="161" t="s">
        <v>3</v>
      </c>
      <c r="F4" s="100"/>
    </row>
    <row r="5" spans="1:6" ht="17.25" customHeight="1" x14ac:dyDescent="0.35">
      <c r="E5" s="161" t="s">
        <v>353</v>
      </c>
      <c r="F5" s="100"/>
    </row>
    <row r="6" spans="1:6" ht="84" customHeight="1" x14ac:dyDescent="0.25">
      <c r="A6" s="189" t="s">
        <v>249</v>
      </c>
      <c r="B6" s="189"/>
      <c r="C6" s="189"/>
      <c r="D6" s="189"/>
      <c r="E6" s="189"/>
      <c r="F6" s="190"/>
    </row>
    <row r="7" spans="1:6" ht="58.2" customHeight="1" x14ac:dyDescent="0.25">
      <c r="A7" s="193" t="s">
        <v>4</v>
      </c>
      <c r="B7" s="195" t="s">
        <v>5</v>
      </c>
      <c r="C7" s="197" t="s">
        <v>6</v>
      </c>
      <c r="D7" s="198" t="s">
        <v>136</v>
      </c>
      <c r="E7" s="195" t="s">
        <v>143</v>
      </c>
      <c r="F7" s="195" t="s">
        <v>144</v>
      </c>
    </row>
    <row r="8" spans="1:6" ht="21.75" hidden="1" customHeight="1" x14ac:dyDescent="0.3">
      <c r="A8" s="194"/>
      <c r="B8" s="196"/>
      <c r="C8" s="197"/>
      <c r="D8" s="199"/>
      <c r="E8" s="196"/>
      <c r="F8" s="200"/>
    </row>
    <row r="9" spans="1:6" ht="62.4" x14ac:dyDescent="0.25">
      <c r="A9" s="201">
        <v>1</v>
      </c>
      <c r="B9" s="203" t="s">
        <v>250</v>
      </c>
      <c r="C9" s="163" t="s">
        <v>310</v>
      </c>
      <c r="D9" s="42">
        <f>D10+D11+D12+D13+D14+D15+D16+D17+D18+D19+D20+D21+D22+D23+D24+D25+D26+D27+D28+D29+D30+D31+D32+D33+D34+D35+D36+D37+D38+D39+D40+D41+D42+D43+D44+D45+D46+D47+D48+D49+D50+D51+D52+D53+D54+D55+D56+D57+D58+D59+D60+D61+D62+D63+D64+D65+D66+D67+D68+D69+D70++D71+D72+D73+D74+D75+D76+D77+D78+D79+D80+D81+D82+D83+D84+D85+D86+D87+D88+D89+D90+D91</f>
        <v>140786372.84999999</v>
      </c>
      <c r="E9" s="42">
        <f>E10+E11+E12+E13+E14+E15+E16+E17+E18+E19+E20+E21+E22+E23+E24+E25+E26+E27+E28+E29+E30+E31+E32+E33+E34+E35+E36+E37+E38+E39+E40+E41+E42+E43+E44+E45+E46+E47+E48+E49+E50+E51+E52+E53+E54+E55+E56+E57+E58+E59+E60+E61+E62+E63+E64+E65+E66+E67+E68+E69+E70++E71+E72+E73+E74+E75+E76+E77+E78+E79+E80+E81+E82+E83+E84+E85+E86+E87+E88+E89+E90+E91</f>
        <v>3330916.81</v>
      </c>
      <c r="F9" s="42">
        <f t="shared" ref="F9" si="0">F10+F11+F12+F13+F14+F15+F16+F17+F18+F19+F20+F21+F22+F23+F24+F25+F26+F27+F28+F29+F30+F31+F32+F33+F34+F35+F36+F37+F38+F39+F40+F41+F42+F43+F44+F45+F46+F47+F48+F49+F50+F51+F52+F53+F54+F55+F56+F57+F58+F59+F60+F61+F62+F63+F64+F65+F66+F67+F68+F69+F70++F71+F72+F73+F74+F75+F76+F77+F78+F79+F80+F81+F82+F83+F84+F85+F86+F87+F88+F89+F90+F91</f>
        <v>60165963.239999995</v>
      </c>
    </row>
    <row r="10" spans="1:6" ht="48" customHeight="1" x14ac:dyDescent="0.25">
      <c r="A10" s="201"/>
      <c r="B10" s="203"/>
      <c r="C10" s="163" t="s">
        <v>179</v>
      </c>
      <c r="D10" s="169">
        <v>443560.85</v>
      </c>
      <c r="E10" s="42"/>
      <c r="F10" s="43"/>
    </row>
    <row r="11" spans="1:6" ht="70.2" customHeight="1" x14ac:dyDescent="0.25">
      <c r="A11" s="201"/>
      <c r="B11" s="203"/>
      <c r="C11" s="163" t="s">
        <v>311</v>
      </c>
      <c r="D11" s="169">
        <v>86537.69</v>
      </c>
      <c r="E11" s="42"/>
      <c r="F11" s="43"/>
    </row>
    <row r="12" spans="1:6" ht="69" customHeight="1" x14ac:dyDescent="0.25">
      <c r="A12" s="201"/>
      <c r="B12" s="203"/>
      <c r="C12" s="163" t="s">
        <v>312</v>
      </c>
      <c r="D12" s="169">
        <v>1900516.36</v>
      </c>
      <c r="E12" s="42"/>
      <c r="F12" s="43"/>
    </row>
    <row r="13" spans="1:6" ht="52.2" customHeight="1" x14ac:dyDescent="0.25">
      <c r="A13" s="201"/>
      <c r="B13" s="203"/>
      <c r="C13" s="163" t="s">
        <v>172</v>
      </c>
      <c r="D13" s="169">
        <v>2043724.63</v>
      </c>
      <c r="E13" s="42"/>
      <c r="F13" s="43"/>
    </row>
    <row r="14" spans="1:6" ht="19.2" customHeight="1" x14ac:dyDescent="0.25">
      <c r="A14" s="201"/>
      <c r="B14" s="203"/>
      <c r="C14" s="163" t="s">
        <v>134</v>
      </c>
      <c r="D14" s="169">
        <v>6232659.4299999997</v>
      </c>
      <c r="E14" s="42"/>
      <c r="F14" s="43"/>
    </row>
    <row r="15" spans="1:6" ht="36" customHeight="1" x14ac:dyDescent="0.25">
      <c r="A15" s="201"/>
      <c r="B15" s="203"/>
      <c r="C15" s="163" t="s">
        <v>145</v>
      </c>
      <c r="D15" s="169">
        <v>3614812.99</v>
      </c>
      <c r="E15" s="42"/>
      <c r="F15" s="43"/>
    </row>
    <row r="16" spans="1:6" ht="32.549999999999997" customHeight="1" x14ac:dyDescent="0.25">
      <c r="A16" s="201"/>
      <c r="B16" s="203"/>
      <c r="C16" s="163" t="s">
        <v>146</v>
      </c>
      <c r="D16" s="169">
        <v>1698654.72</v>
      </c>
      <c r="E16" s="42"/>
      <c r="F16" s="43"/>
    </row>
    <row r="17" spans="1:6" ht="21.6" customHeight="1" x14ac:dyDescent="0.25">
      <c r="A17" s="201"/>
      <c r="B17" s="203"/>
      <c r="C17" s="163" t="s">
        <v>132</v>
      </c>
      <c r="D17" s="169">
        <v>1700437.97</v>
      </c>
      <c r="E17" s="42"/>
      <c r="F17" s="43"/>
    </row>
    <row r="18" spans="1:6" ht="36.6" customHeight="1" x14ac:dyDescent="0.25">
      <c r="A18" s="201"/>
      <c r="B18" s="203"/>
      <c r="C18" s="163" t="s">
        <v>131</v>
      </c>
      <c r="D18" s="44">
        <v>952834.73</v>
      </c>
      <c r="E18" s="42"/>
      <c r="F18" s="43"/>
    </row>
    <row r="19" spans="1:6" ht="33.6" customHeight="1" x14ac:dyDescent="0.25">
      <c r="A19" s="201"/>
      <c r="B19" s="203"/>
      <c r="C19" s="163" t="s">
        <v>147</v>
      </c>
      <c r="D19" s="44">
        <v>69450.38</v>
      </c>
      <c r="E19" s="42"/>
      <c r="F19" s="43"/>
    </row>
    <row r="20" spans="1:6" ht="21.6" customHeight="1" x14ac:dyDescent="0.25">
      <c r="A20" s="201"/>
      <c r="B20" s="203"/>
      <c r="C20" s="163" t="s">
        <v>130</v>
      </c>
      <c r="D20" s="44">
        <v>371446.36</v>
      </c>
      <c r="E20" s="42"/>
      <c r="F20" s="43"/>
    </row>
    <row r="21" spans="1:6" ht="31.2" x14ac:dyDescent="0.25">
      <c r="A21" s="201"/>
      <c r="B21" s="203"/>
      <c r="C21" s="163" t="s">
        <v>129</v>
      </c>
      <c r="D21" s="44">
        <v>2603181.16</v>
      </c>
      <c r="E21" s="42"/>
      <c r="F21" s="43"/>
    </row>
    <row r="22" spans="1:6" ht="34.799999999999997" customHeight="1" x14ac:dyDescent="0.25">
      <c r="A22" s="201"/>
      <c r="B22" s="203"/>
      <c r="C22" s="163" t="s">
        <v>128</v>
      </c>
      <c r="D22" s="44">
        <v>1657422.52</v>
      </c>
      <c r="E22" s="42"/>
      <c r="F22" s="43"/>
    </row>
    <row r="23" spans="1:6" ht="21" customHeight="1" x14ac:dyDescent="0.25">
      <c r="A23" s="201"/>
      <c r="B23" s="203"/>
      <c r="C23" s="163" t="s">
        <v>148</v>
      </c>
      <c r="D23" s="44">
        <v>13322.04</v>
      </c>
      <c r="E23" s="42"/>
      <c r="F23" s="43"/>
    </row>
    <row r="24" spans="1:6" ht="20.399999999999999" customHeight="1" x14ac:dyDescent="0.25">
      <c r="A24" s="201"/>
      <c r="B24" s="203"/>
      <c r="C24" s="163" t="s">
        <v>137</v>
      </c>
      <c r="D24" s="44">
        <v>285509.56</v>
      </c>
      <c r="E24" s="42"/>
      <c r="F24" s="43"/>
    </row>
    <row r="25" spans="1:6" ht="34.200000000000003" customHeight="1" x14ac:dyDescent="0.25">
      <c r="A25" s="201"/>
      <c r="B25" s="203"/>
      <c r="C25" s="163" t="s">
        <v>127</v>
      </c>
      <c r="D25" s="44">
        <v>38867.910000000003</v>
      </c>
      <c r="E25" s="42"/>
      <c r="F25" s="43"/>
    </row>
    <row r="26" spans="1:6" ht="20.399999999999999" customHeight="1" x14ac:dyDescent="0.25">
      <c r="A26" s="201"/>
      <c r="B26" s="203"/>
      <c r="C26" s="163" t="s">
        <v>126</v>
      </c>
      <c r="D26" s="44">
        <v>92056.31</v>
      </c>
      <c r="E26" s="42"/>
      <c r="F26" s="43"/>
    </row>
    <row r="27" spans="1:6" ht="31.2" x14ac:dyDescent="0.25">
      <c r="A27" s="201"/>
      <c r="B27" s="203"/>
      <c r="C27" s="163" t="s">
        <v>125</v>
      </c>
      <c r="D27" s="44">
        <v>138328.20000000001</v>
      </c>
      <c r="E27" s="42"/>
      <c r="F27" s="43"/>
    </row>
    <row r="28" spans="1:6" ht="18" customHeight="1" x14ac:dyDescent="0.25">
      <c r="A28" s="201"/>
      <c r="B28" s="203"/>
      <c r="C28" s="163" t="s">
        <v>124</v>
      </c>
      <c r="D28" s="44">
        <v>108699.84</v>
      </c>
      <c r="E28" s="42"/>
      <c r="F28" s="43"/>
    </row>
    <row r="29" spans="1:6" ht="15.6" x14ac:dyDescent="0.25">
      <c r="A29" s="201"/>
      <c r="B29" s="203"/>
      <c r="C29" s="163" t="s">
        <v>123</v>
      </c>
      <c r="D29" s="44">
        <v>2031048.24</v>
      </c>
      <c r="E29" s="42"/>
      <c r="F29" s="43"/>
    </row>
    <row r="30" spans="1:6" ht="60.75" customHeight="1" x14ac:dyDescent="0.25">
      <c r="A30" s="201"/>
      <c r="B30" s="203"/>
      <c r="C30" s="163" t="s">
        <v>122</v>
      </c>
      <c r="D30" s="44">
        <v>4502000</v>
      </c>
      <c r="E30" s="42"/>
      <c r="F30" s="43"/>
    </row>
    <row r="31" spans="1:6" ht="45" customHeight="1" x14ac:dyDescent="0.25">
      <c r="A31" s="201"/>
      <c r="B31" s="203"/>
      <c r="C31" s="163" t="s">
        <v>121</v>
      </c>
      <c r="D31" s="44">
        <v>486000</v>
      </c>
      <c r="E31" s="42"/>
      <c r="F31" s="43"/>
    </row>
    <row r="32" spans="1:6" ht="77.400000000000006" customHeight="1" x14ac:dyDescent="0.25">
      <c r="A32" s="201"/>
      <c r="B32" s="203"/>
      <c r="C32" s="163" t="s">
        <v>313</v>
      </c>
      <c r="D32" s="44">
        <v>1651010</v>
      </c>
      <c r="E32" s="42"/>
      <c r="F32" s="43"/>
    </row>
    <row r="33" spans="1:6" ht="58.2" customHeight="1" x14ac:dyDescent="0.25">
      <c r="A33" s="201"/>
      <c r="B33" s="203"/>
      <c r="C33" s="163" t="s">
        <v>257</v>
      </c>
      <c r="D33" s="44">
        <v>1313371.27</v>
      </c>
      <c r="E33" s="42"/>
      <c r="F33" s="43"/>
    </row>
    <row r="34" spans="1:6" ht="33.75" customHeight="1" x14ac:dyDescent="0.25">
      <c r="A34" s="201"/>
      <c r="B34" s="203"/>
      <c r="C34" s="163" t="s">
        <v>119</v>
      </c>
      <c r="D34" s="44">
        <v>2012284.72</v>
      </c>
      <c r="E34" s="42"/>
      <c r="F34" s="43"/>
    </row>
    <row r="35" spans="1:6" ht="35.25" customHeight="1" x14ac:dyDescent="0.25">
      <c r="A35" s="201"/>
      <c r="B35" s="203"/>
      <c r="C35" s="163" t="s">
        <v>118</v>
      </c>
      <c r="D35" s="44">
        <v>325756.19</v>
      </c>
      <c r="E35" s="42"/>
      <c r="F35" s="43"/>
    </row>
    <row r="36" spans="1:6" ht="33" customHeight="1" x14ac:dyDescent="0.25">
      <c r="A36" s="201"/>
      <c r="B36" s="203"/>
      <c r="C36" s="163" t="s">
        <v>117</v>
      </c>
      <c r="D36" s="44">
        <v>124071.71</v>
      </c>
      <c r="E36" s="42"/>
      <c r="F36" s="43"/>
    </row>
    <row r="37" spans="1:6" ht="18" customHeight="1" x14ac:dyDescent="0.3">
      <c r="A37" s="201"/>
      <c r="B37" s="203"/>
      <c r="C37" s="163" t="s">
        <v>112</v>
      </c>
      <c r="D37" s="188">
        <v>8921999.1300000008</v>
      </c>
      <c r="E37" s="42"/>
      <c r="F37" s="43"/>
    </row>
    <row r="38" spans="1:6" ht="34.950000000000003" customHeight="1" x14ac:dyDescent="0.25">
      <c r="A38" s="201"/>
      <c r="B38" s="203"/>
      <c r="C38" s="163" t="s">
        <v>139</v>
      </c>
      <c r="D38" s="41">
        <v>402639.7</v>
      </c>
      <c r="E38" s="44"/>
      <c r="F38" s="43"/>
    </row>
    <row r="39" spans="1:6" ht="37.200000000000003" customHeight="1" x14ac:dyDescent="0.3">
      <c r="A39" s="201"/>
      <c r="B39" s="203"/>
      <c r="C39" s="163" t="s">
        <v>173</v>
      </c>
      <c r="D39" s="170"/>
      <c r="E39" s="44">
        <v>124476.76</v>
      </c>
      <c r="F39" s="43"/>
    </row>
    <row r="40" spans="1:6" ht="22.2" customHeight="1" x14ac:dyDescent="0.3">
      <c r="A40" s="201"/>
      <c r="B40" s="203"/>
      <c r="C40" s="163" t="s">
        <v>149</v>
      </c>
      <c r="D40" s="170"/>
      <c r="E40" s="44">
        <v>98000</v>
      </c>
      <c r="F40" s="43"/>
    </row>
    <row r="41" spans="1:6" ht="21.6" customHeight="1" x14ac:dyDescent="0.3">
      <c r="A41" s="201"/>
      <c r="B41" s="203"/>
      <c r="C41" s="163" t="s">
        <v>150</v>
      </c>
      <c r="D41" s="170"/>
      <c r="E41" s="44">
        <v>95550</v>
      </c>
      <c r="F41" s="43"/>
    </row>
    <row r="42" spans="1:6" ht="48" customHeight="1" x14ac:dyDescent="0.3">
      <c r="A42" s="201"/>
      <c r="B42" s="203"/>
      <c r="C42" s="163" t="s">
        <v>151</v>
      </c>
      <c r="D42" s="170"/>
      <c r="E42" s="44">
        <v>853800</v>
      </c>
      <c r="F42" s="43"/>
    </row>
    <row r="43" spans="1:6" ht="33.6" customHeight="1" x14ac:dyDescent="0.3">
      <c r="A43" s="201"/>
      <c r="B43" s="203"/>
      <c r="C43" s="163" t="s">
        <v>251</v>
      </c>
      <c r="D43" s="170"/>
      <c r="E43" s="42">
        <v>1809090.05</v>
      </c>
      <c r="F43" s="43"/>
    </row>
    <row r="44" spans="1:6" ht="31.95" customHeight="1" x14ac:dyDescent="0.3">
      <c r="A44" s="201"/>
      <c r="B44" s="203"/>
      <c r="C44" s="163" t="s">
        <v>152</v>
      </c>
      <c r="D44" s="170"/>
      <c r="E44" s="42"/>
      <c r="F44" s="42">
        <v>228676</v>
      </c>
    </row>
    <row r="45" spans="1:6" ht="50.4" customHeight="1" x14ac:dyDescent="0.3">
      <c r="A45" s="196"/>
      <c r="B45" s="204"/>
      <c r="C45" s="163" t="s">
        <v>153</v>
      </c>
      <c r="D45" s="170"/>
      <c r="E45" s="42"/>
      <c r="F45" s="42">
        <v>85906.14</v>
      </c>
    </row>
    <row r="46" spans="1:6" ht="71.25" customHeight="1" x14ac:dyDescent="0.3">
      <c r="A46" s="196"/>
      <c r="B46" s="204"/>
      <c r="C46" s="163" t="s">
        <v>207</v>
      </c>
      <c r="D46" s="170"/>
      <c r="E46" s="42"/>
      <c r="F46" s="42">
        <v>356077.55</v>
      </c>
    </row>
    <row r="47" spans="1:6" ht="19.95" customHeight="1" x14ac:dyDescent="0.3">
      <c r="A47" s="202"/>
      <c r="B47" s="205"/>
      <c r="C47" s="163" t="s">
        <v>154</v>
      </c>
      <c r="D47" s="170"/>
      <c r="E47" s="42"/>
      <c r="F47" s="42">
        <v>759940.31</v>
      </c>
    </row>
    <row r="48" spans="1:6" ht="18.75" customHeight="1" x14ac:dyDescent="0.25">
      <c r="A48" s="202"/>
      <c r="B48" s="205"/>
      <c r="C48" s="163" t="s">
        <v>155</v>
      </c>
      <c r="D48" s="41">
        <v>165000</v>
      </c>
      <c r="E48" s="42"/>
      <c r="F48" s="42"/>
    </row>
    <row r="49" spans="1:6" ht="33.75" customHeight="1" x14ac:dyDescent="0.25">
      <c r="A49" s="202"/>
      <c r="B49" s="205"/>
      <c r="C49" s="163" t="s">
        <v>156</v>
      </c>
      <c r="D49" s="41">
        <v>2108378.36</v>
      </c>
      <c r="E49" s="42"/>
      <c r="F49" s="42"/>
    </row>
    <row r="50" spans="1:6" ht="30.75" customHeight="1" x14ac:dyDescent="0.25">
      <c r="A50" s="202"/>
      <c r="B50" s="205"/>
      <c r="C50" s="163" t="s">
        <v>157</v>
      </c>
      <c r="D50" s="41">
        <v>1183027.3899999999</v>
      </c>
      <c r="E50" s="42"/>
      <c r="F50" s="42"/>
    </row>
    <row r="51" spans="1:6" ht="19.2" customHeight="1" x14ac:dyDescent="0.25">
      <c r="A51" s="202"/>
      <c r="B51" s="205"/>
      <c r="C51" s="163" t="s">
        <v>162</v>
      </c>
      <c r="D51" s="41">
        <v>2193619.2400000002</v>
      </c>
      <c r="E51" s="42"/>
      <c r="F51" s="42"/>
    </row>
    <row r="52" spans="1:6" ht="21" customHeight="1" x14ac:dyDescent="0.25">
      <c r="A52" s="202"/>
      <c r="B52" s="205"/>
      <c r="C52" s="163" t="s">
        <v>161</v>
      </c>
      <c r="D52" s="41">
        <v>1466336.38</v>
      </c>
      <c r="E52" s="42"/>
      <c r="F52" s="42"/>
    </row>
    <row r="53" spans="1:6" ht="20.55" customHeight="1" x14ac:dyDescent="0.25">
      <c r="A53" s="202"/>
      <c r="B53" s="205"/>
      <c r="C53" s="163" t="s">
        <v>160</v>
      </c>
      <c r="D53" s="41">
        <v>1192512.06</v>
      </c>
      <c r="E53" s="42"/>
      <c r="F53" s="42"/>
    </row>
    <row r="54" spans="1:6" ht="19.5" customHeight="1" x14ac:dyDescent="0.25">
      <c r="A54" s="202"/>
      <c r="B54" s="205"/>
      <c r="C54" s="163" t="s">
        <v>159</v>
      </c>
      <c r="D54" s="41">
        <v>154146.31</v>
      </c>
      <c r="E54" s="42"/>
      <c r="F54" s="42"/>
    </row>
    <row r="55" spans="1:6" ht="18" customHeight="1" x14ac:dyDescent="0.25">
      <c r="A55" s="202"/>
      <c r="B55" s="205"/>
      <c r="C55" s="163" t="s">
        <v>158</v>
      </c>
      <c r="D55" s="41">
        <v>46781.74</v>
      </c>
      <c r="E55" s="42"/>
      <c r="F55" s="42"/>
    </row>
    <row r="56" spans="1:6" ht="67.5" customHeight="1" x14ac:dyDescent="0.25">
      <c r="A56" s="172"/>
      <c r="B56" s="173"/>
      <c r="C56" s="163" t="s">
        <v>237</v>
      </c>
      <c r="D56" s="41">
        <v>1610031.43</v>
      </c>
      <c r="E56" s="42"/>
      <c r="F56" s="42"/>
    </row>
    <row r="57" spans="1:6" ht="45" customHeight="1" x14ac:dyDescent="0.25">
      <c r="A57" s="172"/>
      <c r="B57" s="173"/>
      <c r="C57" s="163" t="s">
        <v>224</v>
      </c>
      <c r="D57" s="41">
        <v>25672572.690000001</v>
      </c>
      <c r="E57" s="42"/>
      <c r="F57" s="42"/>
    </row>
    <row r="58" spans="1:6" ht="51" customHeight="1" x14ac:dyDescent="0.25">
      <c r="A58" s="172"/>
      <c r="B58" s="173"/>
      <c r="C58" s="163" t="s">
        <v>314</v>
      </c>
      <c r="D58" s="41">
        <v>6500710.2599999998</v>
      </c>
      <c r="E58" s="42"/>
      <c r="F58" s="42"/>
    </row>
    <row r="59" spans="1:6" ht="97.2" customHeight="1" x14ac:dyDescent="0.25">
      <c r="A59" s="172"/>
      <c r="B59" s="173"/>
      <c r="C59" s="163" t="s">
        <v>315</v>
      </c>
      <c r="D59" s="41">
        <v>81464.460000000006</v>
      </c>
      <c r="E59" s="42"/>
      <c r="F59" s="42"/>
    </row>
    <row r="60" spans="1:6" ht="97.95" customHeight="1" x14ac:dyDescent="0.25">
      <c r="A60" s="172"/>
      <c r="B60" s="173"/>
      <c r="C60" s="163" t="s">
        <v>236</v>
      </c>
      <c r="D60" s="41">
        <v>97127.8</v>
      </c>
      <c r="E60" s="42"/>
      <c r="F60" s="42"/>
    </row>
    <row r="61" spans="1:6" ht="93.6" x14ac:dyDescent="0.25">
      <c r="A61" s="172"/>
      <c r="B61" s="173"/>
      <c r="C61" s="163" t="s">
        <v>329</v>
      </c>
      <c r="D61" s="41">
        <v>696000</v>
      </c>
      <c r="E61" s="42"/>
      <c r="F61" s="42"/>
    </row>
    <row r="62" spans="1:6" ht="79.95" customHeight="1" x14ac:dyDescent="0.25">
      <c r="A62" s="172"/>
      <c r="B62" s="173"/>
      <c r="C62" s="163" t="s">
        <v>229</v>
      </c>
      <c r="D62" s="41">
        <v>1992740</v>
      </c>
      <c r="E62" s="42"/>
      <c r="F62" s="42"/>
    </row>
    <row r="63" spans="1:6" ht="18" customHeight="1" x14ac:dyDescent="0.25">
      <c r="A63" s="172"/>
      <c r="B63" s="173"/>
      <c r="C63" s="163" t="s">
        <v>230</v>
      </c>
      <c r="D63" s="41">
        <v>1018178.08</v>
      </c>
      <c r="E63" s="42"/>
      <c r="F63" s="42"/>
    </row>
    <row r="64" spans="1:6" ht="71.400000000000006" customHeight="1" x14ac:dyDescent="0.25">
      <c r="A64" s="172"/>
      <c r="B64" s="173"/>
      <c r="C64" s="163" t="s">
        <v>316</v>
      </c>
      <c r="D64" s="41">
        <v>303997.46000000002</v>
      </c>
      <c r="E64" s="42"/>
      <c r="F64" s="42"/>
    </row>
    <row r="65" spans="1:6" ht="19.2" customHeight="1" x14ac:dyDescent="0.25">
      <c r="A65" s="172"/>
      <c r="B65" s="173"/>
      <c r="C65" s="163" t="s">
        <v>232</v>
      </c>
      <c r="D65" s="41">
        <v>75000</v>
      </c>
      <c r="E65" s="42"/>
      <c r="F65" s="42"/>
    </row>
    <row r="66" spans="1:6" ht="31.2" x14ac:dyDescent="0.25">
      <c r="A66" s="172"/>
      <c r="B66" s="173"/>
      <c r="C66" s="163" t="s">
        <v>233</v>
      </c>
      <c r="D66" s="41">
        <v>378000</v>
      </c>
      <c r="E66" s="42"/>
      <c r="F66" s="42"/>
    </row>
    <row r="67" spans="1:6" ht="98.4" customHeight="1" x14ac:dyDescent="0.25">
      <c r="A67" s="172"/>
      <c r="B67" s="173"/>
      <c r="C67" s="163" t="s">
        <v>317</v>
      </c>
      <c r="D67" s="41">
        <v>907589.77</v>
      </c>
      <c r="E67" s="42"/>
      <c r="F67" s="42"/>
    </row>
    <row r="68" spans="1:6" ht="65.55" customHeight="1" x14ac:dyDescent="0.25">
      <c r="A68" s="172"/>
      <c r="B68" s="173"/>
      <c r="C68" s="163" t="s">
        <v>330</v>
      </c>
      <c r="D68" s="41">
        <v>137374.59</v>
      </c>
      <c r="E68" s="42"/>
      <c r="F68" s="42"/>
    </row>
    <row r="69" spans="1:6" ht="69" customHeight="1" x14ac:dyDescent="0.25">
      <c r="A69" s="172"/>
      <c r="B69" s="173"/>
      <c r="C69" s="163" t="s">
        <v>318</v>
      </c>
      <c r="D69" s="41">
        <v>473000</v>
      </c>
      <c r="E69" s="42"/>
      <c r="F69" s="42"/>
    </row>
    <row r="70" spans="1:6" ht="34.799999999999997" customHeight="1" x14ac:dyDescent="0.25">
      <c r="A70" s="172"/>
      <c r="B70" s="173"/>
      <c r="C70" s="163" t="s">
        <v>319</v>
      </c>
      <c r="D70" s="41">
        <v>530205.42000000004</v>
      </c>
      <c r="E70" s="42"/>
      <c r="F70" s="42"/>
    </row>
    <row r="71" spans="1:6" ht="71.400000000000006" customHeight="1" x14ac:dyDescent="0.25">
      <c r="A71" s="172"/>
      <c r="B71" s="173"/>
      <c r="C71" s="163" t="s">
        <v>320</v>
      </c>
      <c r="D71" s="41">
        <f>пояснительная!H72</f>
        <v>2545077.81</v>
      </c>
      <c r="E71" s="42"/>
      <c r="F71" s="42"/>
    </row>
    <row r="72" spans="1:6" ht="62.4" x14ac:dyDescent="0.25">
      <c r="A72" s="172"/>
      <c r="B72" s="173"/>
      <c r="C72" s="163" t="s">
        <v>299</v>
      </c>
      <c r="D72" s="41">
        <f>пояснительная!H73</f>
        <v>158676.70000000001</v>
      </c>
      <c r="E72" s="42"/>
      <c r="F72" s="42"/>
    </row>
    <row r="73" spans="1:6" ht="46.8" x14ac:dyDescent="0.25">
      <c r="A73" s="172"/>
      <c r="B73" s="173"/>
      <c r="C73" s="163" t="s">
        <v>321</v>
      </c>
      <c r="D73" s="41">
        <f>пояснительная!H74</f>
        <v>3053158.28</v>
      </c>
      <c r="E73" s="42"/>
      <c r="F73" s="42"/>
    </row>
    <row r="74" spans="1:6" ht="31.2" x14ac:dyDescent="0.25">
      <c r="A74" s="172"/>
      <c r="B74" s="173"/>
      <c r="C74" s="163" t="s">
        <v>300</v>
      </c>
      <c r="D74" s="41">
        <f>пояснительная!H75</f>
        <v>534544.07999999996</v>
      </c>
      <c r="E74" s="42"/>
      <c r="F74" s="42"/>
    </row>
    <row r="75" spans="1:6" ht="31.2" x14ac:dyDescent="0.25">
      <c r="A75" s="172"/>
      <c r="B75" s="173"/>
      <c r="C75" s="163" t="s">
        <v>301</v>
      </c>
      <c r="D75" s="41">
        <f>пояснительная!H76</f>
        <v>94000</v>
      </c>
      <c r="E75" s="42"/>
      <c r="F75" s="42"/>
    </row>
    <row r="76" spans="1:6" ht="46.8" x14ac:dyDescent="0.25">
      <c r="A76" s="172"/>
      <c r="B76" s="173"/>
      <c r="C76" s="163" t="s">
        <v>322</v>
      </c>
      <c r="D76" s="41"/>
      <c r="E76" s="42">
        <v>350000</v>
      </c>
      <c r="F76" s="42"/>
    </row>
    <row r="77" spans="1:6" ht="70.2" customHeight="1" x14ac:dyDescent="0.25">
      <c r="A77" s="172"/>
      <c r="B77" s="173"/>
      <c r="C77" s="163" t="s">
        <v>323</v>
      </c>
      <c r="D77" s="41">
        <f>пояснительная!H78</f>
        <v>130000</v>
      </c>
      <c r="E77" s="42"/>
      <c r="F77" s="42"/>
    </row>
    <row r="78" spans="1:6" ht="63" customHeight="1" x14ac:dyDescent="0.25">
      <c r="A78" s="172"/>
      <c r="B78" s="173"/>
      <c r="C78" s="163" t="s">
        <v>324</v>
      </c>
      <c r="D78" s="41">
        <f>пояснительная!H79</f>
        <v>120000</v>
      </c>
      <c r="E78" s="42"/>
      <c r="F78" s="42"/>
    </row>
    <row r="79" spans="1:6" ht="36" customHeight="1" x14ac:dyDescent="0.25">
      <c r="A79" s="172"/>
      <c r="B79" s="173"/>
      <c r="C79" s="163" t="s">
        <v>302</v>
      </c>
      <c r="D79" s="41">
        <f>пояснительная!H80</f>
        <v>599141.43999999994</v>
      </c>
      <c r="E79" s="42"/>
      <c r="F79" s="42"/>
    </row>
    <row r="80" spans="1:6" ht="145.80000000000001" customHeight="1" x14ac:dyDescent="0.25">
      <c r="A80" s="172"/>
      <c r="B80" s="173"/>
      <c r="C80" s="163" t="s">
        <v>325</v>
      </c>
      <c r="D80" s="41">
        <f>пояснительная!H81</f>
        <v>489000</v>
      </c>
      <c r="E80" s="42"/>
      <c r="F80" s="42"/>
    </row>
    <row r="81" spans="1:6" ht="150" customHeight="1" x14ac:dyDescent="0.25">
      <c r="A81" s="172"/>
      <c r="B81" s="173"/>
      <c r="C81" s="163" t="s">
        <v>326</v>
      </c>
      <c r="D81" s="41">
        <f>пояснительная!H82</f>
        <v>22961833.739999998</v>
      </c>
      <c r="E81" s="42"/>
      <c r="F81" s="42"/>
    </row>
    <row r="82" spans="1:6" ht="46.8" x14ac:dyDescent="0.25">
      <c r="A82" s="172"/>
      <c r="B82" s="173"/>
      <c r="C82" s="163" t="s">
        <v>303</v>
      </c>
      <c r="D82" s="41">
        <f>пояснительная!H83</f>
        <v>223905.33</v>
      </c>
      <c r="E82" s="42"/>
      <c r="F82" s="42"/>
    </row>
    <row r="83" spans="1:6" ht="46.8" x14ac:dyDescent="0.25">
      <c r="A83" s="172"/>
      <c r="B83" s="173"/>
      <c r="C83" s="163" t="s">
        <v>304</v>
      </c>
      <c r="D83" s="41">
        <f>пояснительная!H84</f>
        <v>54000</v>
      </c>
      <c r="E83" s="42"/>
      <c r="F83" s="42"/>
    </row>
    <row r="84" spans="1:6" ht="31.2" x14ac:dyDescent="0.25">
      <c r="A84" s="172"/>
      <c r="B84" s="173"/>
      <c r="C84" s="163" t="s">
        <v>331</v>
      </c>
      <c r="D84" s="41">
        <f>пояснительная!H85</f>
        <v>433693.66</v>
      </c>
      <c r="E84" s="42"/>
      <c r="F84" s="42"/>
    </row>
    <row r="85" spans="1:6" ht="62.4" x14ac:dyDescent="0.25">
      <c r="A85" s="172"/>
      <c r="B85" s="173"/>
      <c r="C85" s="163" t="s">
        <v>332</v>
      </c>
      <c r="D85" s="41">
        <f>пояснительная!H86</f>
        <v>523720.48</v>
      </c>
      <c r="E85" s="42"/>
      <c r="F85" s="42"/>
    </row>
    <row r="86" spans="1:6" ht="31.2" x14ac:dyDescent="0.25">
      <c r="A86" s="172"/>
      <c r="B86" s="173"/>
      <c r="C86" s="163" t="s">
        <v>306</v>
      </c>
      <c r="D86" s="41">
        <f>пояснительная!H87</f>
        <v>1903308.68</v>
      </c>
      <c r="E86" s="42"/>
      <c r="F86" s="42"/>
    </row>
    <row r="87" spans="1:6" ht="31.2" x14ac:dyDescent="0.25">
      <c r="A87" s="172"/>
      <c r="B87" s="173"/>
      <c r="C87" s="163" t="s">
        <v>333</v>
      </c>
      <c r="D87" s="41">
        <f>пояснительная!H88</f>
        <v>6630000</v>
      </c>
      <c r="E87" s="42"/>
      <c r="F87" s="42"/>
    </row>
    <row r="88" spans="1:6" ht="31.2" x14ac:dyDescent="0.25">
      <c r="A88" s="172"/>
      <c r="B88" s="173"/>
      <c r="C88" s="163" t="s">
        <v>307</v>
      </c>
      <c r="D88" s="41">
        <f>пояснительная!$H$90</f>
        <v>5526314.5999999996</v>
      </c>
      <c r="E88" s="42"/>
      <c r="F88" s="42"/>
    </row>
    <row r="89" spans="1:6" ht="69" customHeight="1" x14ac:dyDescent="0.3">
      <c r="A89" s="172"/>
      <c r="B89" s="173"/>
      <c r="C89" s="163" t="s">
        <v>327</v>
      </c>
      <c r="D89" s="170"/>
      <c r="E89" s="42"/>
      <c r="F89" s="42">
        <f>пояснительная!R91</f>
        <v>11122836.890000001</v>
      </c>
    </row>
    <row r="90" spans="1:6" ht="111" customHeight="1" x14ac:dyDescent="0.3">
      <c r="A90" s="172"/>
      <c r="B90" s="173"/>
      <c r="C90" s="163" t="s">
        <v>308</v>
      </c>
      <c r="D90" s="170"/>
      <c r="E90" s="42"/>
      <c r="F90" s="42">
        <f>пояснительная!R92</f>
        <v>38911334.799999997</v>
      </c>
    </row>
    <row r="91" spans="1:6" ht="32.25" customHeight="1" x14ac:dyDescent="0.3">
      <c r="A91" s="172"/>
      <c r="B91" s="173"/>
      <c r="C91" s="163" t="s">
        <v>309</v>
      </c>
      <c r="D91" s="170"/>
      <c r="E91" s="42"/>
      <c r="F91" s="42">
        <f>пояснительная!R93</f>
        <v>8701191.5500000007</v>
      </c>
    </row>
    <row r="92" spans="1:6" ht="61.2" customHeight="1" x14ac:dyDescent="0.25">
      <c r="A92" s="191" t="s">
        <v>328</v>
      </c>
      <c r="B92" s="191"/>
      <c r="C92" s="191"/>
      <c r="D92" s="44">
        <f>D9</f>
        <v>140786372.84999999</v>
      </c>
      <c r="E92" s="44">
        <f t="shared" ref="E92:F92" si="1">E9</f>
        <v>3330916.81</v>
      </c>
      <c r="F92" s="44">
        <f t="shared" si="1"/>
        <v>60165963.239999995</v>
      </c>
    </row>
    <row r="93" spans="1:6" ht="51.6" customHeight="1" x14ac:dyDescent="0.3">
      <c r="A93" s="59" t="s">
        <v>111</v>
      </c>
      <c r="B93" s="206" t="s">
        <v>252</v>
      </c>
      <c r="C93" s="84" t="s">
        <v>334</v>
      </c>
      <c r="D93" s="44">
        <v>500000</v>
      </c>
      <c r="E93" s="42"/>
      <c r="F93" s="171"/>
    </row>
    <row r="94" spans="1:6" ht="59.25" customHeight="1" x14ac:dyDescent="0.3">
      <c r="A94" s="207"/>
      <c r="B94" s="207"/>
      <c r="C94" s="84" t="str">
        <f>пояснительная!C97</f>
        <v xml:space="preserve">ремонт стадиона (водоотведение) по адресу             г. Златоуст, проспект Гагарина,       5 -я линия д.3В                                  </v>
      </c>
      <c r="D94" s="44">
        <f>пояснительная!H97</f>
        <v>6187719.9199999999</v>
      </c>
      <c r="E94" s="42"/>
      <c r="F94" s="171"/>
    </row>
    <row r="95" spans="1:6" ht="151.80000000000001" customHeight="1" x14ac:dyDescent="0.3">
      <c r="A95" s="207"/>
      <c r="B95" s="207"/>
      <c r="C95" s="84" t="str">
        <f>пояснительная!C98</f>
        <v xml:space="preserve">ремонт стадиона (монтаж покрытия мини-футбольного поля( с разметкой) из искуственноц травы; монтаж спортивного покрытия из наливной резины с пигментом для беговых дорожек; подготовительные работы под укладку мини-футбольного поля и беговой дорожки по адресу: г.  Златоуст, проспект Гагарина,       5 -я линия д.3В     </v>
      </c>
      <c r="D95" s="44">
        <f>пояснительная!H98</f>
        <v>6719426.21</v>
      </c>
      <c r="E95" s="42"/>
      <c r="F95" s="171"/>
    </row>
    <row r="96" spans="1:6" ht="84.75" customHeight="1" x14ac:dyDescent="0.3">
      <c r="A96" s="207"/>
      <c r="B96" s="207"/>
      <c r="C96" s="84" t="str">
        <f>пояснительная!C99</f>
        <v>работы по составлению дефектной ведомости  и сметной документации на ремонт  душевых спортивного зала  адресу: г. Златоуст,                   ул. им. В.И. Ленина, д. 1</v>
      </c>
      <c r="D96" s="44">
        <f>пояснительная!H99</f>
        <v>5234</v>
      </c>
      <c r="E96" s="42"/>
      <c r="F96" s="171"/>
    </row>
    <row r="97" spans="1:6" ht="85.5" customHeight="1" x14ac:dyDescent="0.3">
      <c r="A97" s="207"/>
      <c r="B97" s="207"/>
      <c r="C97" s="84" t="str">
        <f>пояснительная!C100</f>
        <v xml:space="preserve">работы проверке сметной документации на ремонт  кровли спортитвного зала Булат по адресу:по адресу: г.  Златоуст, проспект Гагарина,       5 -я линия д.3В     </v>
      </c>
      <c r="D97" s="44">
        <f>пояснительная!H100</f>
        <v>3307</v>
      </c>
      <c r="E97" s="42"/>
      <c r="F97" s="171"/>
    </row>
    <row r="98" spans="1:6" ht="80.25" customHeight="1" x14ac:dyDescent="0.3">
      <c r="A98" s="207"/>
      <c r="B98" s="207"/>
      <c r="C98" s="84" t="str">
        <f>пояснительная!C101</f>
        <v xml:space="preserve">услуги по осуществлению технического надзора за выполнением работ по водоотведению стадиона по адресу: г.  Златоуст, проспект Гагарина,       5 -я линия д.3В  </v>
      </c>
      <c r="D98" s="44">
        <f>пояснительная!H101</f>
        <v>134784</v>
      </c>
      <c r="E98" s="42"/>
      <c r="F98" s="171"/>
    </row>
    <row r="99" spans="1:6" ht="77.25" customHeight="1" x14ac:dyDescent="0.3">
      <c r="A99" s="207"/>
      <c r="B99" s="207"/>
      <c r="C99" s="84" t="str">
        <f>пояснительная!C102</f>
        <v xml:space="preserve">работы по проверке сметной документации на ремонт стадиона по адресу: г.  Златоуст, проспект Гагарина,       5 -я линия д.3В  </v>
      </c>
      <c r="D99" s="44">
        <f>пояснительная!H102</f>
        <v>4044</v>
      </c>
      <c r="E99" s="42"/>
      <c r="F99" s="171"/>
    </row>
    <row r="100" spans="1:6" ht="77.25" customHeight="1" x14ac:dyDescent="0.3">
      <c r="A100" s="207"/>
      <c r="B100" s="207"/>
      <c r="C100" s="84" t="str">
        <f>пояснительная!C103</f>
        <v>частичный ремонт трубопровода отопления, ревизия бойлера и опресовка системы отопления по адресу: г.  Златоуст, ул. Механическая. д.1а</v>
      </c>
      <c r="D100" s="44">
        <f>пояснительная!H103</f>
        <v>35996</v>
      </c>
      <c r="E100" s="42"/>
      <c r="F100" s="171"/>
    </row>
    <row r="101" spans="1:6" ht="64.5" customHeight="1" x14ac:dyDescent="0.3">
      <c r="A101" s="207"/>
      <c r="B101" s="207"/>
      <c r="C101" s="84" t="str">
        <f>пояснительная!C104</f>
        <v>ремонт кровли спортивного зала по адресу: г. Златоуст,                   ул. им. В.И. Ленина, д. 1</v>
      </c>
      <c r="D101" s="44">
        <f>пояснительная!H104</f>
        <v>991988.87</v>
      </c>
      <c r="E101" s="42"/>
      <c r="F101" s="171"/>
    </row>
    <row r="102" spans="1:6" ht="59.25" customHeight="1" x14ac:dyDescent="0.25">
      <c r="A102" s="192" t="s">
        <v>165</v>
      </c>
      <c r="B102" s="192"/>
      <c r="C102" s="192"/>
      <c r="D102" s="44">
        <f>SUM(D93:D101)</f>
        <v>14582499.999999998</v>
      </c>
      <c r="E102" s="42">
        <f>SUM(E93:E93)</f>
        <v>0</v>
      </c>
      <c r="F102" s="42">
        <f>SUM(F93:F93)</f>
        <v>0</v>
      </c>
    </row>
    <row r="103" spans="1:6" ht="81.75" customHeight="1" x14ac:dyDescent="0.3">
      <c r="A103" s="209" t="s">
        <v>53</v>
      </c>
      <c r="B103" s="215" t="s">
        <v>175</v>
      </c>
      <c r="C103" s="84" t="s">
        <v>258</v>
      </c>
      <c r="D103" s="44">
        <v>313702</v>
      </c>
      <c r="E103" s="42"/>
      <c r="F103" s="171"/>
    </row>
    <row r="104" spans="1:6" ht="84" customHeight="1" x14ac:dyDescent="0.3">
      <c r="A104" s="210"/>
      <c r="B104" s="216"/>
      <c r="C104" s="84" t="s">
        <v>253</v>
      </c>
      <c r="D104" s="44">
        <v>24216</v>
      </c>
      <c r="E104" s="42"/>
      <c r="F104" s="171"/>
    </row>
    <row r="105" spans="1:6" ht="116.55" customHeight="1" x14ac:dyDescent="0.3">
      <c r="A105" s="210"/>
      <c r="B105" s="216"/>
      <c r="C105" s="84" t="s">
        <v>259</v>
      </c>
      <c r="D105" s="44"/>
      <c r="E105" s="42">
        <f>548506.8+61461.72</f>
        <v>609968.52</v>
      </c>
      <c r="F105" s="171"/>
    </row>
    <row r="106" spans="1:6" ht="49.95" customHeight="1" x14ac:dyDescent="0.3">
      <c r="A106" s="211"/>
      <c r="B106" s="217"/>
      <c r="C106" s="84" t="s">
        <v>335</v>
      </c>
      <c r="D106" s="44">
        <v>99925</v>
      </c>
      <c r="E106" s="42"/>
      <c r="F106" s="171"/>
    </row>
    <row r="107" spans="1:6" ht="55.2" customHeight="1" x14ac:dyDescent="0.3">
      <c r="A107" s="207"/>
      <c r="B107" s="218"/>
      <c r="C107" s="84" t="s">
        <v>336</v>
      </c>
      <c r="D107" s="171"/>
      <c r="E107" s="44"/>
      <c r="F107" s="43">
        <v>146768.6</v>
      </c>
    </row>
    <row r="108" spans="1:6" ht="86.4" customHeight="1" x14ac:dyDescent="0.3">
      <c r="A108" s="212"/>
      <c r="B108" s="219"/>
      <c r="C108" s="84" t="s">
        <v>337</v>
      </c>
      <c r="D108" s="171"/>
      <c r="E108" s="44"/>
      <c r="F108" s="43">
        <f>458383.4+29848</f>
        <v>488231.4</v>
      </c>
    </row>
    <row r="109" spans="1:6" ht="38.25" customHeight="1" x14ac:dyDescent="0.25">
      <c r="A109" s="191" t="s">
        <v>254</v>
      </c>
      <c r="B109" s="191"/>
      <c r="C109" s="191"/>
      <c r="D109" s="44">
        <f>D103+D106+D107+D108+D105+D104</f>
        <v>437843</v>
      </c>
      <c r="E109" s="44">
        <f>E103+E106+E107+E108+E105+E104</f>
        <v>609968.52</v>
      </c>
      <c r="F109" s="44">
        <f>F103+F106+F107+F108+F105+F104</f>
        <v>635000</v>
      </c>
    </row>
    <row r="110" spans="1:6" ht="178.8" customHeight="1" x14ac:dyDescent="0.25">
      <c r="A110" s="197" t="s">
        <v>58</v>
      </c>
      <c r="B110" s="223" t="s">
        <v>55</v>
      </c>
      <c r="C110" s="84" t="s">
        <v>338</v>
      </c>
      <c r="D110" s="44"/>
      <c r="E110" s="42"/>
      <c r="F110" s="43">
        <v>529800</v>
      </c>
    </row>
    <row r="111" spans="1:6" ht="109.2" x14ac:dyDescent="0.25">
      <c r="A111" s="202"/>
      <c r="B111" s="205"/>
      <c r="C111" s="84" t="s">
        <v>339</v>
      </c>
      <c r="D111" s="44"/>
      <c r="E111" s="42"/>
      <c r="F111" s="43">
        <v>420000</v>
      </c>
    </row>
    <row r="112" spans="1:6" ht="64.2" customHeight="1" x14ac:dyDescent="0.25">
      <c r="A112" s="202"/>
      <c r="B112" s="205"/>
      <c r="C112" s="84" t="s">
        <v>255</v>
      </c>
      <c r="D112" s="44">
        <v>10200</v>
      </c>
      <c r="E112" s="42"/>
      <c r="F112" s="43"/>
    </row>
    <row r="113" spans="1:7" ht="54" customHeight="1" x14ac:dyDescent="0.25">
      <c r="A113" s="202"/>
      <c r="B113" s="205"/>
      <c r="C113" s="84" t="s">
        <v>141</v>
      </c>
      <c r="D113" s="44"/>
      <c r="E113" s="42">
        <v>10000</v>
      </c>
      <c r="F113" s="43"/>
    </row>
    <row r="114" spans="1:7" ht="100.95" customHeight="1" x14ac:dyDescent="0.25">
      <c r="A114" s="202"/>
      <c r="B114" s="205"/>
      <c r="C114" s="84" t="s">
        <v>340</v>
      </c>
      <c r="D114" s="44">
        <f>645351.57+665600-10000</f>
        <v>1300951.5699999998</v>
      </c>
      <c r="E114" s="42"/>
      <c r="F114" s="43"/>
    </row>
    <row r="115" spans="1:7" ht="58.5" customHeight="1" x14ac:dyDescent="0.25">
      <c r="A115" s="191" t="s">
        <v>167</v>
      </c>
      <c r="B115" s="191"/>
      <c r="C115" s="191"/>
      <c r="D115" s="44">
        <f>D114+D113+D112+D111+D110</f>
        <v>1311151.5699999998</v>
      </c>
      <c r="E115" s="44">
        <f t="shared" ref="E115:F115" si="2">E114+E113+E112+E111+E110</f>
        <v>10000</v>
      </c>
      <c r="F115" s="44">
        <f t="shared" si="2"/>
        <v>949800</v>
      </c>
    </row>
    <row r="116" spans="1:7" ht="140.25" customHeight="1" x14ac:dyDescent="0.3">
      <c r="A116" s="225">
        <v>5</v>
      </c>
      <c r="B116" s="203" t="s">
        <v>163</v>
      </c>
      <c r="C116" s="164" t="s">
        <v>341</v>
      </c>
      <c r="D116" s="44"/>
      <c r="E116" s="44">
        <f>498200+2233</f>
        <v>500433</v>
      </c>
      <c r="F116" s="171"/>
    </row>
    <row r="117" spans="1:7" ht="91.5" customHeight="1" x14ac:dyDescent="0.25">
      <c r="A117" s="226"/>
      <c r="B117" s="222"/>
      <c r="C117" s="164" t="s">
        <v>298</v>
      </c>
      <c r="D117" s="44"/>
      <c r="E117" s="44"/>
      <c r="F117" s="44">
        <v>161000</v>
      </c>
    </row>
    <row r="118" spans="1:7" ht="98.55" customHeight="1" x14ac:dyDescent="0.25">
      <c r="A118" s="226"/>
      <c r="B118" s="222"/>
      <c r="C118" s="164" t="s">
        <v>221</v>
      </c>
      <c r="D118" s="44"/>
      <c r="E118" s="44">
        <v>53160.21</v>
      </c>
      <c r="F118" s="44"/>
    </row>
    <row r="119" spans="1:7" ht="162.75" customHeight="1" x14ac:dyDescent="0.25">
      <c r="A119" s="226"/>
      <c r="B119" s="222"/>
      <c r="C119" s="164" t="s">
        <v>342</v>
      </c>
      <c r="D119" s="44">
        <v>83557</v>
      </c>
      <c r="E119" s="44"/>
      <c r="F119" s="44"/>
    </row>
    <row r="120" spans="1:7" ht="99" customHeight="1" x14ac:dyDescent="0.25">
      <c r="A120" s="227"/>
      <c r="B120" s="205"/>
      <c r="C120" s="164" t="s">
        <v>343</v>
      </c>
      <c r="D120" s="44">
        <f>717363.54+42891.78+30</f>
        <v>760285.32000000007</v>
      </c>
      <c r="E120" s="44"/>
      <c r="F120" s="44"/>
    </row>
    <row r="121" spans="1:7" ht="25.5" customHeight="1" x14ac:dyDescent="0.25">
      <c r="A121" s="227"/>
      <c r="B121" s="205"/>
      <c r="C121" s="164" t="s">
        <v>203</v>
      </c>
      <c r="D121" s="44">
        <v>84700</v>
      </c>
      <c r="E121" s="44"/>
      <c r="F121" s="44"/>
    </row>
    <row r="122" spans="1:7" ht="78" x14ac:dyDescent="0.25">
      <c r="A122" s="227"/>
      <c r="B122" s="205"/>
      <c r="C122" s="164" t="s">
        <v>344</v>
      </c>
      <c r="D122" s="44">
        <f>215760.46-42891.78-30</f>
        <v>172838.68</v>
      </c>
      <c r="E122" s="44"/>
      <c r="F122" s="44"/>
    </row>
    <row r="123" spans="1:7" ht="93.6" x14ac:dyDescent="0.25">
      <c r="A123" s="227"/>
      <c r="B123" s="205"/>
      <c r="C123" s="164" t="s">
        <v>345</v>
      </c>
      <c r="D123" s="44">
        <v>15442</v>
      </c>
      <c r="E123" s="44"/>
      <c r="F123" s="44"/>
      <c r="G123" s="80">
        <f>D123+D122+D121+D120+D119</f>
        <v>1116823</v>
      </c>
    </row>
    <row r="124" spans="1:7" ht="80.55" customHeight="1" x14ac:dyDescent="0.25">
      <c r="A124" s="227"/>
      <c r="B124" s="205"/>
      <c r="C124" s="164" t="s">
        <v>220</v>
      </c>
      <c r="D124" s="44"/>
      <c r="E124" s="44">
        <v>46300</v>
      </c>
      <c r="F124" s="44"/>
    </row>
    <row r="125" spans="1:7" ht="39.6" customHeight="1" x14ac:dyDescent="0.25">
      <c r="A125" s="191" t="s">
        <v>170</v>
      </c>
      <c r="B125" s="224"/>
      <c r="C125" s="224"/>
      <c r="D125" s="44">
        <f>D116+D117+D119+D120+D121+D118+D124+D123+D122</f>
        <v>1116823</v>
      </c>
      <c r="E125" s="44">
        <f>E116+E117+E119+E120+E121+E118+E124+E123+E122</f>
        <v>599893.21</v>
      </c>
      <c r="F125" s="44">
        <f t="shared" ref="F125" si="3">F116+F117+F119+F120+F121+F118+F124+F123+F122</f>
        <v>161000</v>
      </c>
    </row>
    <row r="126" spans="1:7" ht="113.25" customHeight="1" x14ac:dyDescent="0.25">
      <c r="A126" s="197" t="s">
        <v>140</v>
      </c>
      <c r="B126" s="221" t="s">
        <v>33</v>
      </c>
      <c r="C126" s="84" t="s">
        <v>246</v>
      </c>
      <c r="D126" s="41">
        <f>1057836.91+169800+824600+195021.18+3374+140744.85+4471+373617.65</f>
        <v>2769465.59</v>
      </c>
      <c r="E126" s="42"/>
      <c r="F126" s="43"/>
    </row>
    <row r="127" spans="1:7" ht="87.75" customHeight="1" x14ac:dyDescent="0.25">
      <c r="A127" s="202"/>
      <c r="B127" s="222"/>
      <c r="C127" s="84" t="s">
        <v>346</v>
      </c>
      <c r="D127" s="41">
        <f>79900+1000000</f>
        <v>1079900</v>
      </c>
      <c r="E127" s="42"/>
      <c r="F127" s="43"/>
    </row>
    <row r="128" spans="1:7" ht="224.25" customHeight="1" x14ac:dyDescent="0.25">
      <c r="A128" s="202"/>
      <c r="B128" s="205"/>
      <c r="C128" s="84" t="s">
        <v>347</v>
      </c>
      <c r="D128" s="41"/>
      <c r="E128" s="42"/>
      <c r="F128" s="43">
        <f>518300+2077+1530-3607</f>
        <v>518300</v>
      </c>
    </row>
    <row r="129" spans="1:6" ht="167.25" customHeight="1" x14ac:dyDescent="0.25">
      <c r="A129" s="202"/>
      <c r="B129" s="205"/>
      <c r="C129" s="84" t="s">
        <v>348</v>
      </c>
      <c r="D129" s="41"/>
      <c r="E129" s="42">
        <v>90000</v>
      </c>
      <c r="F129" s="43"/>
    </row>
    <row r="130" spans="1:6" ht="96.75" customHeight="1" x14ac:dyDescent="0.25">
      <c r="A130" s="172"/>
      <c r="B130" s="173"/>
      <c r="C130" s="84" t="s">
        <v>349</v>
      </c>
      <c r="D130" s="41">
        <v>3661</v>
      </c>
      <c r="E130" s="42"/>
      <c r="F130" s="43"/>
    </row>
    <row r="131" spans="1:6" ht="96.75" customHeight="1" x14ac:dyDescent="0.25">
      <c r="A131" s="172"/>
      <c r="B131" s="173"/>
      <c r="C131" s="84" t="s">
        <v>350</v>
      </c>
      <c r="D131" s="41">
        <v>13942</v>
      </c>
      <c r="E131" s="42"/>
      <c r="F131" s="43"/>
    </row>
    <row r="132" spans="1:6" ht="92.25" customHeight="1" x14ac:dyDescent="0.25">
      <c r="A132" s="172"/>
      <c r="B132" s="173"/>
      <c r="C132" s="84" t="s">
        <v>242</v>
      </c>
      <c r="D132" s="41">
        <v>7859</v>
      </c>
      <c r="E132" s="42"/>
      <c r="F132" s="43"/>
    </row>
    <row r="133" spans="1:6" ht="102.75" customHeight="1" x14ac:dyDescent="0.25">
      <c r="A133" s="172"/>
      <c r="B133" s="173"/>
      <c r="C133" s="84" t="s">
        <v>351</v>
      </c>
      <c r="D133" s="41">
        <f>472915.94+1970+87144.17+1556+3607</f>
        <v>567193.11</v>
      </c>
      <c r="E133" s="42"/>
      <c r="F133" s="43">
        <v>3600</v>
      </c>
    </row>
    <row r="134" spans="1:6" ht="57" customHeight="1" x14ac:dyDescent="0.25">
      <c r="A134" s="192" t="s">
        <v>168</v>
      </c>
      <c r="B134" s="192"/>
      <c r="C134" s="192"/>
      <c r="D134" s="44">
        <f>D126+D129+D128+D127+D133+D132+D131+D130</f>
        <v>4442020.7</v>
      </c>
      <c r="E134" s="44">
        <f t="shared" ref="E134" si="4">E126+E129+E128+E127+E133+E132+E131+E130</f>
        <v>90000</v>
      </c>
      <c r="F134" s="44">
        <f>F126+F129+F128+F127+F133+F132+F131+F130</f>
        <v>521900</v>
      </c>
    </row>
    <row r="135" spans="1:6" s="75" customFormat="1" ht="58.2" customHeight="1" x14ac:dyDescent="0.3">
      <c r="A135" s="213">
        <v>7</v>
      </c>
      <c r="B135" s="214" t="s">
        <v>110</v>
      </c>
      <c r="C135" s="165" t="s">
        <v>256</v>
      </c>
      <c r="D135" s="44">
        <f>1088500+482900</f>
        <v>1571400</v>
      </c>
      <c r="E135" s="46"/>
      <c r="F135" s="74"/>
    </row>
    <row r="136" spans="1:6" s="75" customFormat="1" ht="105" customHeight="1" x14ac:dyDescent="0.3">
      <c r="A136" s="212"/>
      <c r="B136" s="212"/>
      <c r="C136" s="165" t="s">
        <v>352</v>
      </c>
      <c r="D136" s="44"/>
      <c r="E136" s="46"/>
      <c r="F136" s="43">
        <v>1348300</v>
      </c>
    </row>
    <row r="137" spans="1:6" ht="22.2" customHeight="1" x14ac:dyDescent="0.25">
      <c r="A137" s="191" t="s">
        <v>83</v>
      </c>
      <c r="B137" s="191"/>
      <c r="C137" s="191"/>
      <c r="D137" s="44">
        <f>D134+D102+D92+D115+D109+D135+D125</f>
        <v>164248111.11999997</v>
      </c>
      <c r="E137" s="44">
        <f>E134+E102+E92+E115+E109+E135+E125</f>
        <v>4640778.54</v>
      </c>
      <c r="F137" s="44">
        <f>F134+F102+F92+F115+F109+F135+F125+F136</f>
        <v>63781963.239999995</v>
      </c>
    </row>
    <row r="138" spans="1:6" ht="24" customHeight="1" x14ac:dyDescent="0.25">
      <c r="A138" s="191" t="s">
        <v>109</v>
      </c>
      <c r="B138" s="220"/>
      <c r="C138" s="220"/>
      <c r="D138" s="208">
        <f>D137+E137</f>
        <v>168888889.65999997</v>
      </c>
      <c r="E138" s="208"/>
      <c r="F138" s="42"/>
    </row>
    <row r="139" spans="1:6" ht="22.95" customHeight="1" x14ac:dyDescent="0.25">
      <c r="A139" s="191" t="s">
        <v>169</v>
      </c>
      <c r="B139" s="220"/>
      <c r="C139" s="220"/>
      <c r="D139" s="44"/>
      <c r="E139" s="159"/>
      <c r="F139" s="42">
        <f>F137</f>
        <v>63781963.239999995</v>
      </c>
    </row>
    <row r="140" spans="1:6" ht="46.5" hidden="1" customHeight="1" x14ac:dyDescent="0.4">
      <c r="C140" s="166"/>
      <c r="D140" s="100" t="s">
        <v>218</v>
      </c>
      <c r="E140" s="167">
        <f>100375400</f>
        <v>100375400</v>
      </c>
      <c r="F140" s="167">
        <v>3694700</v>
      </c>
    </row>
    <row r="141" spans="1:6" ht="48.75" hidden="1" customHeight="1" x14ac:dyDescent="0.4">
      <c r="E141" s="160">
        <f>D138-D135</f>
        <v>167317489.65999997</v>
      </c>
      <c r="F141" s="160">
        <f>F140-F139</f>
        <v>-60087263.239999995</v>
      </c>
    </row>
    <row r="142" spans="1:6" ht="84" hidden="1" customHeight="1" x14ac:dyDescent="0.4">
      <c r="E142" s="160">
        <f>E140-E141</f>
        <v>-66942089.659999967</v>
      </c>
    </row>
    <row r="143" spans="1:6" ht="84" hidden="1" customHeight="1" x14ac:dyDescent="0.4"/>
  </sheetData>
  <mergeCells count="31">
    <mergeCell ref="A139:C139"/>
    <mergeCell ref="B126:B129"/>
    <mergeCell ref="A110:A114"/>
    <mergeCell ref="B110:B114"/>
    <mergeCell ref="A109:C109"/>
    <mergeCell ref="A115:C115"/>
    <mergeCell ref="A125:C125"/>
    <mergeCell ref="A126:A129"/>
    <mergeCell ref="B116:B124"/>
    <mergeCell ref="A116:A124"/>
    <mergeCell ref="A134:C134"/>
    <mergeCell ref="A137:C137"/>
    <mergeCell ref="A138:C138"/>
    <mergeCell ref="D138:E138"/>
    <mergeCell ref="A103:A108"/>
    <mergeCell ref="A94:A101"/>
    <mergeCell ref="A135:A136"/>
    <mergeCell ref="B135:B136"/>
    <mergeCell ref="B103:B108"/>
    <mergeCell ref="A6:F6"/>
    <mergeCell ref="A92:C92"/>
    <mergeCell ref="A102:C102"/>
    <mergeCell ref="A7:A8"/>
    <mergeCell ref="B7:B8"/>
    <mergeCell ref="C7:C8"/>
    <mergeCell ref="E7:E8"/>
    <mergeCell ref="D7:D8"/>
    <mergeCell ref="F7:F8"/>
    <mergeCell ref="A9:A55"/>
    <mergeCell ref="B9:B55"/>
    <mergeCell ref="B93:B101"/>
  </mergeCells>
  <phoneticPr fontId="15" type="noConversion"/>
  <pageMargins left="0.31496062992125984" right="0.31496062992125984" top="0.35433070866141736" bottom="0.35433070866141736" header="0.31496062992125984" footer="0.31496062992125984"/>
  <pageSetup paperSize="9" scale="70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44"/>
  <sheetViews>
    <sheetView topLeftCell="A85" workbookViewId="0">
      <selection activeCell="C93" sqref="C93"/>
    </sheetView>
  </sheetViews>
  <sheetFormatPr defaultColWidth="9.21875" defaultRowHeight="84" customHeight="1" x14ac:dyDescent="0.35"/>
  <cols>
    <col min="1" max="1" width="5.77734375" style="80" customWidth="1"/>
    <col min="2" max="2" width="22" style="80" customWidth="1"/>
    <col min="3" max="3" width="32.21875" style="81" customWidth="1"/>
    <col min="4" max="4" width="18" style="76" hidden="1" customWidth="1"/>
    <col min="5" max="5" width="19" style="76" hidden="1" customWidth="1"/>
    <col min="6" max="6" width="18" style="123" bestFit="1" customWidth="1"/>
    <col min="7" max="7" width="18.77734375" style="123" bestFit="1" customWidth="1"/>
    <col min="8" max="8" width="19.44140625" style="123" bestFit="1" customWidth="1"/>
    <col min="9" max="9" width="23.21875" style="55" hidden="1" customWidth="1"/>
    <col min="10" max="10" width="14.5546875" style="55" hidden="1" customWidth="1"/>
    <col min="11" max="13" width="16.21875" style="140" customWidth="1"/>
    <col min="14" max="14" width="16.5546875" style="55" hidden="1" customWidth="1"/>
    <col min="15" max="15" width="23.77734375" style="55" hidden="1" customWidth="1"/>
    <col min="16" max="16" width="23.77734375" style="140" customWidth="1"/>
    <col min="17" max="17" width="18" style="80" bestFit="1" customWidth="1"/>
    <col min="18" max="18" width="18.21875" style="80" customWidth="1"/>
    <col min="19" max="16384" width="9.21875" style="80"/>
  </cols>
  <sheetData>
    <row r="1" spans="1:18" ht="58.5" customHeight="1" x14ac:dyDescent="0.35">
      <c r="I1" s="100" t="s">
        <v>135</v>
      </c>
      <c r="J1" s="100"/>
      <c r="K1" s="133"/>
      <c r="L1" s="133"/>
      <c r="M1" s="133"/>
      <c r="N1" s="100"/>
      <c r="O1" s="100"/>
      <c r="P1" s="133"/>
    </row>
    <row r="2" spans="1:18" ht="84" customHeight="1" x14ac:dyDescent="0.35">
      <c r="A2" s="228" t="s">
        <v>208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9"/>
      <c r="O2" s="120"/>
      <c r="P2" s="134"/>
    </row>
    <row r="3" spans="1:18" s="156" customFormat="1" ht="78" customHeight="1" x14ac:dyDescent="0.25">
      <c r="A3" s="230" t="s">
        <v>4</v>
      </c>
      <c r="B3" s="232" t="s">
        <v>5</v>
      </c>
      <c r="C3" s="234" t="s">
        <v>6</v>
      </c>
      <c r="D3" s="235" t="s">
        <v>136</v>
      </c>
      <c r="E3" s="174" t="s">
        <v>222</v>
      </c>
      <c r="F3" s="174" t="s">
        <v>296</v>
      </c>
      <c r="G3" s="174" t="s">
        <v>291</v>
      </c>
      <c r="H3" s="174" t="s">
        <v>292</v>
      </c>
      <c r="I3" s="237" t="s">
        <v>143</v>
      </c>
      <c r="J3" s="141" t="s">
        <v>202</v>
      </c>
      <c r="K3" s="141" t="s">
        <v>261</v>
      </c>
      <c r="L3" s="141" t="s">
        <v>291</v>
      </c>
      <c r="M3" s="141" t="s">
        <v>293</v>
      </c>
      <c r="N3" s="206" t="s">
        <v>144</v>
      </c>
      <c r="O3" s="135" t="s">
        <v>206</v>
      </c>
      <c r="P3" s="135" t="s">
        <v>295</v>
      </c>
      <c r="Q3" s="187" t="s">
        <v>291</v>
      </c>
      <c r="R3" s="187" t="s">
        <v>294</v>
      </c>
    </row>
    <row r="4" spans="1:18" ht="21.75" hidden="1" customHeight="1" x14ac:dyDescent="0.3">
      <c r="A4" s="231"/>
      <c r="B4" s="233"/>
      <c r="C4" s="234"/>
      <c r="D4" s="236"/>
      <c r="E4" s="101"/>
      <c r="F4" s="124"/>
      <c r="G4" s="124"/>
      <c r="H4" s="124"/>
      <c r="I4" s="238"/>
      <c r="J4" s="142"/>
      <c r="K4" s="143"/>
      <c r="L4" s="143"/>
      <c r="M4" s="143"/>
      <c r="N4" s="239"/>
      <c r="O4" s="121"/>
      <c r="P4" s="136"/>
      <c r="Q4" s="92"/>
      <c r="R4" s="92"/>
    </row>
    <row r="5" spans="1:18" ht="93.6" x14ac:dyDescent="0.25">
      <c r="A5" s="251">
        <v>1</v>
      </c>
      <c r="B5" s="253" t="s">
        <v>7</v>
      </c>
      <c r="C5" s="95" t="s">
        <v>244</v>
      </c>
      <c r="D5" s="71">
        <v>73644730.799999997</v>
      </c>
      <c r="E5" s="71"/>
      <c r="F5" s="125"/>
      <c r="G5" s="125"/>
      <c r="H5" s="125"/>
      <c r="I5" s="144">
        <v>2949969.2</v>
      </c>
      <c r="J5" s="144"/>
      <c r="K5" s="145"/>
      <c r="L5" s="145"/>
      <c r="M5" s="145"/>
      <c r="N5" s="71">
        <f>N94</f>
        <v>1430600</v>
      </c>
      <c r="O5" s="71"/>
      <c r="P5" s="125"/>
      <c r="Q5" s="92"/>
      <c r="R5" s="92"/>
    </row>
    <row r="6" spans="1:18" ht="46.8" x14ac:dyDescent="0.25">
      <c r="A6" s="252"/>
      <c r="B6" s="254"/>
      <c r="C6" s="96" t="s">
        <v>179</v>
      </c>
      <c r="D6" s="77">
        <f>F6</f>
        <v>443560.85</v>
      </c>
      <c r="E6" s="77"/>
      <c r="F6" s="126">
        <v>443560.85</v>
      </c>
      <c r="G6" s="126"/>
      <c r="H6" s="126">
        <f>F6</f>
        <v>443560.85</v>
      </c>
      <c r="I6" s="144"/>
      <c r="J6" s="144"/>
      <c r="K6" s="145">
        <f t="shared" ref="K6:K43" si="0">I6</f>
        <v>0</v>
      </c>
      <c r="L6" s="145"/>
      <c r="M6" s="145">
        <f>K6+L6</f>
        <v>0</v>
      </c>
      <c r="N6" s="43"/>
      <c r="O6" s="43"/>
      <c r="P6" s="74"/>
      <c r="Q6" s="92"/>
      <c r="R6" s="92"/>
    </row>
    <row r="7" spans="1:18" ht="93.6" x14ac:dyDescent="0.25">
      <c r="A7" s="252"/>
      <c r="B7" s="254"/>
      <c r="C7" s="95" t="s">
        <v>171</v>
      </c>
      <c r="D7" s="77">
        <v>86537.69</v>
      </c>
      <c r="E7" s="77"/>
      <c r="F7" s="126">
        <f t="shared" ref="F7" si="1">D7-E7</f>
        <v>86537.69</v>
      </c>
      <c r="G7" s="126"/>
      <c r="H7" s="126">
        <f t="shared" ref="H7:H70" si="2">F7</f>
        <v>86537.69</v>
      </c>
      <c r="I7" s="144"/>
      <c r="J7" s="144"/>
      <c r="K7" s="145">
        <f t="shared" si="0"/>
        <v>0</v>
      </c>
      <c r="L7" s="145"/>
      <c r="M7" s="145">
        <f t="shared" ref="M7:M70" si="3">K7+L7</f>
        <v>0</v>
      </c>
      <c r="N7" s="43"/>
      <c r="O7" s="43"/>
      <c r="P7" s="74"/>
      <c r="Q7" s="92"/>
      <c r="R7" s="92"/>
    </row>
    <row r="8" spans="1:18" ht="72" customHeight="1" x14ac:dyDescent="0.25">
      <c r="A8" s="252"/>
      <c r="B8" s="254"/>
      <c r="C8" s="95" t="s">
        <v>133</v>
      </c>
      <c r="D8" s="77">
        <v>2335331.9</v>
      </c>
      <c r="E8" s="77">
        <f>F8-D8</f>
        <v>-434815.5399999998</v>
      </c>
      <c r="F8" s="126">
        <v>1900516.36</v>
      </c>
      <c r="G8" s="126"/>
      <c r="H8" s="126">
        <f t="shared" si="2"/>
        <v>1900516.36</v>
      </c>
      <c r="I8" s="144"/>
      <c r="J8" s="144"/>
      <c r="K8" s="145">
        <f t="shared" si="0"/>
        <v>0</v>
      </c>
      <c r="L8" s="145"/>
      <c r="M8" s="145">
        <f t="shared" si="3"/>
        <v>0</v>
      </c>
      <c r="N8" s="43"/>
      <c r="O8" s="43"/>
      <c r="P8" s="74"/>
      <c r="Q8" s="92"/>
      <c r="R8" s="92"/>
    </row>
    <row r="9" spans="1:18" ht="64.5" customHeight="1" x14ac:dyDescent="0.25">
      <c r="A9" s="252"/>
      <c r="B9" s="254"/>
      <c r="C9" s="95" t="s">
        <v>172</v>
      </c>
      <c r="D9" s="77">
        <v>2043724.63</v>
      </c>
      <c r="E9" s="77">
        <f t="shared" ref="E9:E39" si="4">F9-D9</f>
        <v>0</v>
      </c>
      <c r="F9" s="126">
        <v>2043724.63</v>
      </c>
      <c r="G9" s="126"/>
      <c r="H9" s="126">
        <f t="shared" si="2"/>
        <v>2043724.63</v>
      </c>
      <c r="I9" s="144"/>
      <c r="J9" s="144"/>
      <c r="K9" s="145">
        <f t="shared" si="0"/>
        <v>0</v>
      </c>
      <c r="L9" s="145"/>
      <c r="M9" s="145">
        <f t="shared" si="3"/>
        <v>0</v>
      </c>
      <c r="N9" s="43"/>
      <c r="O9" s="43"/>
      <c r="P9" s="74"/>
      <c r="Q9" s="92"/>
      <c r="R9" s="92"/>
    </row>
    <row r="10" spans="1:18" ht="18" x14ac:dyDescent="0.25">
      <c r="A10" s="252"/>
      <c r="B10" s="254"/>
      <c r="C10" s="95" t="s">
        <v>134</v>
      </c>
      <c r="D10" s="77">
        <v>7800000</v>
      </c>
      <c r="E10" s="77">
        <f t="shared" si="4"/>
        <v>-1567340.5700000003</v>
      </c>
      <c r="F10" s="126">
        <v>6232659.4299999997</v>
      </c>
      <c r="G10" s="126"/>
      <c r="H10" s="126">
        <f t="shared" si="2"/>
        <v>6232659.4299999997</v>
      </c>
      <c r="I10" s="144"/>
      <c r="J10" s="144"/>
      <c r="K10" s="145">
        <f t="shared" si="0"/>
        <v>0</v>
      </c>
      <c r="L10" s="145"/>
      <c r="M10" s="145">
        <f t="shared" si="3"/>
        <v>0</v>
      </c>
      <c r="N10" s="43"/>
      <c r="O10" s="43"/>
      <c r="P10" s="74"/>
      <c r="Q10" s="92"/>
      <c r="R10" s="92"/>
    </row>
    <row r="11" spans="1:18" ht="46.8" x14ac:dyDescent="0.25">
      <c r="A11" s="252"/>
      <c r="B11" s="254"/>
      <c r="C11" s="95" t="s">
        <v>145</v>
      </c>
      <c r="D11" s="77">
        <v>5691845</v>
      </c>
      <c r="E11" s="77">
        <f t="shared" si="4"/>
        <v>-2077032.0099999998</v>
      </c>
      <c r="F11" s="126">
        <v>3614812.99</v>
      </c>
      <c r="G11" s="126"/>
      <c r="H11" s="126">
        <f t="shared" si="2"/>
        <v>3614812.99</v>
      </c>
      <c r="I11" s="144"/>
      <c r="J11" s="144"/>
      <c r="K11" s="145">
        <f t="shared" si="0"/>
        <v>0</v>
      </c>
      <c r="L11" s="145"/>
      <c r="M11" s="145">
        <f t="shared" si="3"/>
        <v>0</v>
      </c>
      <c r="N11" s="43"/>
      <c r="O11" s="43"/>
      <c r="P11" s="74"/>
      <c r="Q11" s="92"/>
      <c r="R11" s="92"/>
    </row>
    <row r="12" spans="1:18" ht="31.2" x14ac:dyDescent="0.25">
      <c r="A12" s="252"/>
      <c r="B12" s="254"/>
      <c r="C12" s="97" t="s">
        <v>146</v>
      </c>
      <c r="D12" s="77">
        <v>4309429.3899999997</v>
      </c>
      <c r="E12" s="77">
        <f t="shared" si="4"/>
        <v>-2610774.67</v>
      </c>
      <c r="F12" s="126">
        <v>1698654.72</v>
      </c>
      <c r="G12" s="126"/>
      <c r="H12" s="126">
        <f t="shared" si="2"/>
        <v>1698654.72</v>
      </c>
      <c r="I12" s="144"/>
      <c r="J12" s="144"/>
      <c r="K12" s="145">
        <f t="shared" si="0"/>
        <v>0</v>
      </c>
      <c r="L12" s="145"/>
      <c r="M12" s="145">
        <f t="shared" si="3"/>
        <v>0</v>
      </c>
      <c r="N12" s="43"/>
      <c r="O12" s="43"/>
      <c r="P12" s="74"/>
      <c r="Q12" s="92"/>
      <c r="R12" s="92"/>
    </row>
    <row r="13" spans="1:18" ht="18" x14ac:dyDescent="0.25">
      <c r="A13" s="252"/>
      <c r="B13" s="254"/>
      <c r="C13" s="97" t="s">
        <v>132</v>
      </c>
      <c r="D13" s="77">
        <v>1958206.62</v>
      </c>
      <c r="E13" s="77">
        <f t="shared" si="4"/>
        <v>-257768.65000000014</v>
      </c>
      <c r="F13" s="126">
        <v>1700437.97</v>
      </c>
      <c r="G13" s="126"/>
      <c r="H13" s="126">
        <f t="shared" si="2"/>
        <v>1700437.97</v>
      </c>
      <c r="I13" s="144"/>
      <c r="J13" s="144"/>
      <c r="K13" s="145">
        <f t="shared" si="0"/>
        <v>0</v>
      </c>
      <c r="L13" s="145"/>
      <c r="M13" s="145">
        <f t="shared" si="3"/>
        <v>0</v>
      </c>
      <c r="N13" s="43"/>
      <c r="O13" s="43"/>
      <c r="P13" s="74"/>
      <c r="Q13" s="92"/>
      <c r="R13" s="92"/>
    </row>
    <row r="14" spans="1:18" ht="31.2" x14ac:dyDescent="0.25">
      <c r="A14" s="252"/>
      <c r="B14" s="254"/>
      <c r="C14" s="97" t="s">
        <v>131</v>
      </c>
      <c r="D14" s="78">
        <v>952834.73</v>
      </c>
      <c r="E14" s="78">
        <f t="shared" si="4"/>
        <v>0</v>
      </c>
      <c r="F14" s="127">
        <v>952834.73</v>
      </c>
      <c r="G14" s="127"/>
      <c r="H14" s="126">
        <f t="shared" si="2"/>
        <v>952834.73</v>
      </c>
      <c r="I14" s="144"/>
      <c r="J14" s="144"/>
      <c r="K14" s="145">
        <f t="shared" si="0"/>
        <v>0</v>
      </c>
      <c r="L14" s="145"/>
      <c r="M14" s="145">
        <f t="shared" si="3"/>
        <v>0</v>
      </c>
      <c r="N14" s="43"/>
      <c r="O14" s="43"/>
      <c r="P14" s="74"/>
      <c r="Q14" s="92"/>
      <c r="R14" s="92"/>
    </row>
    <row r="15" spans="1:18" ht="46.8" x14ac:dyDescent="0.25">
      <c r="A15" s="252"/>
      <c r="B15" s="254"/>
      <c r="C15" s="97" t="s">
        <v>147</v>
      </c>
      <c r="D15" s="78">
        <v>69450.38</v>
      </c>
      <c r="E15" s="78">
        <f t="shared" si="4"/>
        <v>0</v>
      </c>
      <c r="F15" s="127">
        <v>69450.38</v>
      </c>
      <c r="G15" s="127"/>
      <c r="H15" s="126">
        <f t="shared" si="2"/>
        <v>69450.38</v>
      </c>
      <c r="I15" s="144"/>
      <c r="J15" s="144"/>
      <c r="K15" s="145">
        <f t="shared" si="0"/>
        <v>0</v>
      </c>
      <c r="L15" s="145"/>
      <c r="M15" s="145">
        <f t="shared" si="3"/>
        <v>0</v>
      </c>
      <c r="N15" s="43"/>
      <c r="O15" s="43"/>
      <c r="P15" s="74"/>
      <c r="Q15" s="92"/>
      <c r="R15" s="92"/>
    </row>
    <row r="16" spans="1:18" ht="18" x14ac:dyDescent="0.25">
      <c r="A16" s="252"/>
      <c r="B16" s="254"/>
      <c r="C16" s="97" t="s">
        <v>130</v>
      </c>
      <c r="D16" s="78">
        <v>397714.89</v>
      </c>
      <c r="E16" s="78">
        <f t="shared" si="4"/>
        <v>-26268.530000000028</v>
      </c>
      <c r="F16" s="127">
        <v>371446.36</v>
      </c>
      <c r="G16" s="127"/>
      <c r="H16" s="126">
        <f t="shared" si="2"/>
        <v>371446.36</v>
      </c>
      <c r="I16" s="144"/>
      <c r="J16" s="144"/>
      <c r="K16" s="145">
        <f t="shared" si="0"/>
        <v>0</v>
      </c>
      <c r="L16" s="145"/>
      <c r="M16" s="145">
        <f t="shared" si="3"/>
        <v>0</v>
      </c>
      <c r="N16" s="43"/>
      <c r="O16" s="43"/>
      <c r="P16" s="74"/>
      <c r="Q16" s="92"/>
      <c r="R16" s="92"/>
    </row>
    <row r="17" spans="1:18" ht="31.2" x14ac:dyDescent="0.25">
      <c r="A17" s="252"/>
      <c r="B17" s="254"/>
      <c r="C17" s="97" t="s">
        <v>129</v>
      </c>
      <c r="D17" s="78">
        <v>2603181.16</v>
      </c>
      <c r="E17" s="78">
        <f t="shared" si="4"/>
        <v>0</v>
      </c>
      <c r="F17" s="127">
        <v>2603181.16</v>
      </c>
      <c r="G17" s="127"/>
      <c r="H17" s="126">
        <f t="shared" si="2"/>
        <v>2603181.16</v>
      </c>
      <c r="I17" s="144"/>
      <c r="J17" s="144"/>
      <c r="K17" s="145">
        <f t="shared" si="0"/>
        <v>0</v>
      </c>
      <c r="L17" s="145"/>
      <c r="M17" s="145">
        <f t="shared" si="3"/>
        <v>0</v>
      </c>
      <c r="N17" s="43"/>
      <c r="O17" s="43"/>
      <c r="P17" s="74"/>
      <c r="Q17" s="92"/>
      <c r="R17" s="92"/>
    </row>
    <row r="18" spans="1:18" ht="32.25" customHeight="1" x14ac:dyDescent="0.25">
      <c r="A18" s="252"/>
      <c r="B18" s="254"/>
      <c r="C18" s="97" t="s">
        <v>128</v>
      </c>
      <c r="D18" s="78">
        <v>1758823.98</v>
      </c>
      <c r="E18" s="78">
        <f t="shared" si="4"/>
        <v>-101401.45999999996</v>
      </c>
      <c r="F18" s="127">
        <v>1657422.52</v>
      </c>
      <c r="G18" s="127"/>
      <c r="H18" s="126">
        <f t="shared" si="2"/>
        <v>1657422.52</v>
      </c>
      <c r="I18" s="144"/>
      <c r="J18" s="144"/>
      <c r="K18" s="145">
        <f t="shared" si="0"/>
        <v>0</v>
      </c>
      <c r="L18" s="145"/>
      <c r="M18" s="145">
        <f t="shared" si="3"/>
        <v>0</v>
      </c>
      <c r="N18" s="43"/>
      <c r="O18" s="43"/>
      <c r="P18" s="74"/>
      <c r="Q18" s="92"/>
      <c r="R18" s="92"/>
    </row>
    <row r="19" spans="1:18" ht="93.6" x14ac:dyDescent="0.25">
      <c r="A19" s="252"/>
      <c r="B19" s="254"/>
      <c r="C19" s="97" t="s">
        <v>180</v>
      </c>
      <c r="D19" s="78">
        <v>1200779.42</v>
      </c>
      <c r="E19" s="78">
        <f t="shared" si="4"/>
        <v>-1200779.42</v>
      </c>
      <c r="F19" s="127">
        <v>0</v>
      </c>
      <c r="G19" s="127"/>
      <c r="H19" s="126">
        <f t="shared" si="2"/>
        <v>0</v>
      </c>
      <c r="I19" s="144"/>
      <c r="J19" s="144"/>
      <c r="K19" s="145">
        <f t="shared" si="0"/>
        <v>0</v>
      </c>
      <c r="L19" s="145"/>
      <c r="M19" s="145">
        <f t="shared" si="3"/>
        <v>0</v>
      </c>
      <c r="N19" s="43"/>
      <c r="O19" s="43"/>
      <c r="P19" s="74"/>
      <c r="Q19" s="92"/>
      <c r="R19" s="92"/>
    </row>
    <row r="20" spans="1:18" ht="18" x14ac:dyDescent="0.25">
      <c r="A20" s="252"/>
      <c r="B20" s="254"/>
      <c r="C20" s="97" t="s">
        <v>148</v>
      </c>
      <c r="D20" s="78">
        <v>13322.04</v>
      </c>
      <c r="E20" s="78">
        <f t="shared" si="4"/>
        <v>0</v>
      </c>
      <c r="F20" s="127">
        <v>13322.04</v>
      </c>
      <c r="G20" s="127"/>
      <c r="H20" s="126">
        <f t="shared" si="2"/>
        <v>13322.04</v>
      </c>
      <c r="I20" s="144"/>
      <c r="J20" s="144"/>
      <c r="K20" s="145">
        <f t="shared" si="0"/>
        <v>0</v>
      </c>
      <c r="L20" s="145"/>
      <c r="M20" s="145">
        <f t="shared" si="3"/>
        <v>0</v>
      </c>
      <c r="N20" s="43"/>
      <c r="O20" s="43"/>
      <c r="P20" s="74"/>
      <c r="Q20" s="92"/>
      <c r="R20" s="92"/>
    </row>
    <row r="21" spans="1:18" ht="17.25" customHeight="1" x14ac:dyDescent="0.25">
      <c r="A21" s="252"/>
      <c r="B21" s="254"/>
      <c r="C21" s="97" t="s">
        <v>137</v>
      </c>
      <c r="D21" s="94">
        <v>285509.56</v>
      </c>
      <c r="E21" s="94">
        <f t="shared" si="4"/>
        <v>0</v>
      </c>
      <c r="F21" s="128">
        <v>285509.56</v>
      </c>
      <c r="G21" s="128"/>
      <c r="H21" s="126">
        <f t="shared" si="2"/>
        <v>285509.56</v>
      </c>
      <c r="I21" s="144"/>
      <c r="J21" s="144"/>
      <c r="K21" s="145">
        <f t="shared" si="0"/>
        <v>0</v>
      </c>
      <c r="L21" s="145"/>
      <c r="M21" s="145">
        <f t="shared" si="3"/>
        <v>0</v>
      </c>
      <c r="N21" s="43"/>
      <c r="O21" s="43"/>
      <c r="P21" s="74"/>
      <c r="Q21" s="92"/>
      <c r="R21" s="92"/>
    </row>
    <row r="22" spans="1:18" ht="31.2" x14ac:dyDescent="0.25">
      <c r="A22" s="252"/>
      <c r="B22" s="254"/>
      <c r="C22" s="97" t="s">
        <v>127</v>
      </c>
      <c r="D22" s="78">
        <v>38867.910000000003</v>
      </c>
      <c r="E22" s="94">
        <f t="shared" si="4"/>
        <v>0</v>
      </c>
      <c r="F22" s="127">
        <v>38867.910000000003</v>
      </c>
      <c r="G22" s="127"/>
      <c r="H22" s="126">
        <f t="shared" si="2"/>
        <v>38867.910000000003</v>
      </c>
      <c r="I22" s="144"/>
      <c r="J22" s="144"/>
      <c r="K22" s="145">
        <f t="shared" si="0"/>
        <v>0</v>
      </c>
      <c r="L22" s="145"/>
      <c r="M22" s="145">
        <f t="shared" si="3"/>
        <v>0</v>
      </c>
      <c r="N22" s="43"/>
      <c r="O22" s="43"/>
      <c r="P22" s="74"/>
      <c r="Q22" s="92"/>
      <c r="R22" s="92"/>
    </row>
    <row r="23" spans="1:18" ht="18" x14ac:dyDescent="0.25">
      <c r="A23" s="252"/>
      <c r="B23" s="254"/>
      <c r="C23" s="97" t="s">
        <v>126</v>
      </c>
      <c r="D23" s="78">
        <v>92056.31</v>
      </c>
      <c r="E23" s="94">
        <f t="shared" si="4"/>
        <v>0</v>
      </c>
      <c r="F23" s="127">
        <v>92056.31</v>
      </c>
      <c r="G23" s="127"/>
      <c r="H23" s="126">
        <f t="shared" si="2"/>
        <v>92056.31</v>
      </c>
      <c r="I23" s="144"/>
      <c r="J23" s="144"/>
      <c r="K23" s="145">
        <f t="shared" si="0"/>
        <v>0</v>
      </c>
      <c r="L23" s="145"/>
      <c r="M23" s="145">
        <f t="shared" si="3"/>
        <v>0</v>
      </c>
      <c r="N23" s="43"/>
      <c r="O23" s="43"/>
      <c r="P23" s="74"/>
      <c r="Q23" s="92"/>
      <c r="R23" s="92"/>
    </row>
    <row r="24" spans="1:18" ht="31.2" x14ac:dyDescent="0.25">
      <c r="A24" s="252"/>
      <c r="B24" s="254"/>
      <c r="C24" s="97" t="s">
        <v>125</v>
      </c>
      <c r="D24" s="78">
        <v>138328.20000000001</v>
      </c>
      <c r="E24" s="94">
        <f t="shared" si="4"/>
        <v>0</v>
      </c>
      <c r="F24" s="127">
        <v>138328.20000000001</v>
      </c>
      <c r="G24" s="127"/>
      <c r="H24" s="126">
        <f t="shared" si="2"/>
        <v>138328.20000000001</v>
      </c>
      <c r="I24" s="144"/>
      <c r="J24" s="144"/>
      <c r="K24" s="145">
        <f t="shared" si="0"/>
        <v>0</v>
      </c>
      <c r="L24" s="145"/>
      <c r="M24" s="145">
        <f t="shared" si="3"/>
        <v>0</v>
      </c>
      <c r="N24" s="43"/>
      <c r="O24" s="43"/>
      <c r="P24" s="74"/>
      <c r="Q24" s="92"/>
      <c r="R24" s="92"/>
    </row>
    <row r="25" spans="1:18" ht="18" x14ac:dyDescent="0.25">
      <c r="A25" s="252"/>
      <c r="B25" s="254"/>
      <c r="C25" s="97" t="s">
        <v>124</v>
      </c>
      <c r="D25" s="78">
        <v>108699.84</v>
      </c>
      <c r="E25" s="94">
        <f t="shared" si="4"/>
        <v>0</v>
      </c>
      <c r="F25" s="127">
        <v>108699.84</v>
      </c>
      <c r="G25" s="127"/>
      <c r="H25" s="126">
        <f t="shared" si="2"/>
        <v>108699.84</v>
      </c>
      <c r="I25" s="144"/>
      <c r="J25" s="144"/>
      <c r="K25" s="145">
        <f t="shared" si="0"/>
        <v>0</v>
      </c>
      <c r="L25" s="145"/>
      <c r="M25" s="145">
        <f t="shared" si="3"/>
        <v>0</v>
      </c>
      <c r="N25" s="43"/>
      <c r="O25" s="43"/>
      <c r="P25" s="74"/>
      <c r="Q25" s="92"/>
      <c r="R25" s="92"/>
    </row>
    <row r="26" spans="1:18" ht="18" x14ac:dyDescent="0.25">
      <c r="A26" s="252"/>
      <c r="B26" s="254"/>
      <c r="C26" s="97" t="s">
        <v>123</v>
      </c>
      <c r="D26" s="78">
        <v>2031049</v>
      </c>
      <c r="E26" s="94">
        <f t="shared" si="4"/>
        <v>-0.76000000000931323</v>
      </c>
      <c r="F26" s="127">
        <v>2031048.24</v>
      </c>
      <c r="G26" s="127"/>
      <c r="H26" s="126">
        <f t="shared" si="2"/>
        <v>2031048.24</v>
      </c>
      <c r="I26" s="144"/>
      <c r="J26" s="144"/>
      <c r="K26" s="145">
        <f t="shared" si="0"/>
        <v>0</v>
      </c>
      <c r="L26" s="145"/>
      <c r="M26" s="145">
        <f t="shared" si="3"/>
        <v>0</v>
      </c>
      <c r="N26" s="43"/>
      <c r="O26" s="43"/>
      <c r="P26" s="74"/>
      <c r="Q26" s="92"/>
      <c r="R26" s="92"/>
    </row>
    <row r="27" spans="1:18" ht="62.4" x14ac:dyDescent="0.25">
      <c r="A27" s="252"/>
      <c r="B27" s="254"/>
      <c r="C27" s="97" t="s">
        <v>122</v>
      </c>
      <c r="D27" s="78">
        <v>4502000</v>
      </c>
      <c r="E27" s="78">
        <f t="shared" si="4"/>
        <v>0</v>
      </c>
      <c r="F27" s="127">
        <v>4502000</v>
      </c>
      <c r="G27" s="127"/>
      <c r="H27" s="126">
        <f t="shared" si="2"/>
        <v>4502000</v>
      </c>
      <c r="I27" s="144"/>
      <c r="J27" s="144"/>
      <c r="K27" s="145">
        <f t="shared" si="0"/>
        <v>0</v>
      </c>
      <c r="L27" s="145"/>
      <c r="M27" s="145">
        <f t="shared" si="3"/>
        <v>0</v>
      </c>
      <c r="N27" s="43"/>
      <c r="O27" s="43"/>
      <c r="P27" s="74"/>
      <c r="Q27" s="92"/>
      <c r="R27" s="92"/>
    </row>
    <row r="28" spans="1:18" ht="30" customHeight="1" x14ac:dyDescent="0.25">
      <c r="A28" s="252"/>
      <c r="B28" s="254"/>
      <c r="C28" s="97" t="s">
        <v>121</v>
      </c>
      <c r="D28" s="78">
        <v>486000</v>
      </c>
      <c r="E28" s="78">
        <f t="shared" si="4"/>
        <v>0</v>
      </c>
      <c r="F28" s="127">
        <v>486000</v>
      </c>
      <c r="G28" s="127"/>
      <c r="H28" s="126">
        <f t="shared" si="2"/>
        <v>486000</v>
      </c>
      <c r="I28" s="144"/>
      <c r="J28" s="144"/>
      <c r="K28" s="145">
        <f t="shared" si="0"/>
        <v>0</v>
      </c>
      <c r="L28" s="145"/>
      <c r="M28" s="145">
        <f t="shared" si="3"/>
        <v>0</v>
      </c>
      <c r="N28" s="43"/>
      <c r="O28" s="43"/>
      <c r="P28" s="74"/>
      <c r="Q28" s="92"/>
      <c r="R28" s="92"/>
    </row>
    <row r="29" spans="1:18" ht="79.5" customHeight="1" x14ac:dyDescent="0.25">
      <c r="A29" s="252"/>
      <c r="B29" s="254"/>
      <c r="C29" s="97" t="s">
        <v>120</v>
      </c>
      <c r="D29" s="78">
        <v>1651010</v>
      </c>
      <c r="E29" s="78">
        <f t="shared" si="4"/>
        <v>0</v>
      </c>
      <c r="F29" s="127">
        <v>1651010</v>
      </c>
      <c r="G29" s="127"/>
      <c r="H29" s="126">
        <f t="shared" si="2"/>
        <v>1651010</v>
      </c>
      <c r="I29" s="144"/>
      <c r="J29" s="144"/>
      <c r="K29" s="145">
        <f t="shared" si="0"/>
        <v>0</v>
      </c>
      <c r="L29" s="145"/>
      <c r="M29" s="145">
        <f t="shared" si="3"/>
        <v>0</v>
      </c>
      <c r="N29" s="43"/>
      <c r="O29" s="43"/>
      <c r="P29" s="74"/>
      <c r="Q29" s="92"/>
      <c r="R29" s="92"/>
    </row>
    <row r="30" spans="1:18" ht="70.5" customHeight="1" x14ac:dyDescent="0.25">
      <c r="A30" s="252"/>
      <c r="B30" s="254"/>
      <c r="C30" s="97" t="s">
        <v>138</v>
      </c>
      <c r="D30" s="78">
        <v>1313371.27</v>
      </c>
      <c r="E30" s="78">
        <f t="shared" si="4"/>
        <v>0</v>
      </c>
      <c r="F30" s="127">
        <v>1313371.27</v>
      </c>
      <c r="G30" s="127"/>
      <c r="H30" s="126">
        <f t="shared" si="2"/>
        <v>1313371.27</v>
      </c>
      <c r="I30" s="144"/>
      <c r="J30" s="144"/>
      <c r="K30" s="145">
        <f t="shared" si="0"/>
        <v>0</v>
      </c>
      <c r="L30" s="145"/>
      <c r="M30" s="145">
        <f t="shared" si="3"/>
        <v>0</v>
      </c>
      <c r="N30" s="43"/>
      <c r="O30" s="43"/>
      <c r="P30" s="74"/>
      <c r="Q30" s="92"/>
      <c r="R30" s="92"/>
    </row>
    <row r="31" spans="1:18" ht="33.75" customHeight="1" x14ac:dyDescent="0.25">
      <c r="A31" s="252"/>
      <c r="B31" s="254"/>
      <c r="C31" s="97" t="s">
        <v>119</v>
      </c>
      <c r="D31" s="78">
        <v>2012280</v>
      </c>
      <c r="E31" s="78">
        <f t="shared" si="4"/>
        <v>4.7199999999720603</v>
      </c>
      <c r="F31" s="127">
        <v>2012284.72</v>
      </c>
      <c r="G31" s="127"/>
      <c r="H31" s="126">
        <f t="shared" si="2"/>
        <v>2012284.72</v>
      </c>
      <c r="I31" s="144"/>
      <c r="J31" s="144"/>
      <c r="K31" s="145">
        <f t="shared" si="0"/>
        <v>0</v>
      </c>
      <c r="L31" s="145"/>
      <c r="M31" s="145">
        <f t="shared" si="3"/>
        <v>0</v>
      </c>
      <c r="N31" s="43"/>
      <c r="O31" s="43"/>
      <c r="P31" s="74"/>
      <c r="Q31" s="92"/>
      <c r="R31" s="92"/>
    </row>
    <row r="32" spans="1:18" ht="35.25" customHeight="1" x14ac:dyDescent="0.25">
      <c r="A32" s="252"/>
      <c r="B32" s="254"/>
      <c r="C32" s="97" t="s">
        <v>118</v>
      </c>
      <c r="D32" s="78">
        <v>325760</v>
      </c>
      <c r="E32" s="78">
        <f t="shared" si="4"/>
        <v>-3.8099999999976717</v>
      </c>
      <c r="F32" s="127">
        <v>325756.19</v>
      </c>
      <c r="G32" s="127"/>
      <c r="H32" s="126">
        <f t="shared" si="2"/>
        <v>325756.19</v>
      </c>
      <c r="I32" s="144"/>
      <c r="J32" s="144"/>
      <c r="K32" s="145">
        <f t="shared" si="0"/>
        <v>0</v>
      </c>
      <c r="L32" s="145"/>
      <c r="M32" s="145">
        <f t="shared" si="3"/>
        <v>0</v>
      </c>
      <c r="N32" s="43"/>
      <c r="O32" s="43"/>
      <c r="P32" s="74"/>
      <c r="Q32" s="92"/>
      <c r="R32" s="92"/>
    </row>
    <row r="33" spans="1:18" ht="33" customHeight="1" x14ac:dyDescent="0.25">
      <c r="A33" s="252"/>
      <c r="B33" s="254"/>
      <c r="C33" s="97" t="s">
        <v>117</v>
      </c>
      <c r="D33" s="78">
        <v>124070</v>
      </c>
      <c r="E33" s="78">
        <f t="shared" si="4"/>
        <v>1.7100000000064028</v>
      </c>
      <c r="F33" s="127">
        <v>124071.71</v>
      </c>
      <c r="G33" s="127"/>
      <c r="H33" s="126">
        <f t="shared" si="2"/>
        <v>124071.71</v>
      </c>
      <c r="I33" s="144"/>
      <c r="J33" s="144"/>
      <c r="K33" s="145">
        <f t="shared" si="0"/>
        <v>0</v>
      </c>
      <c r="L33" s="145"/>
      <c r="M33" s="145">
        <f t="shared" si="3"/>
        <v>0</v>
      </c>
      <c r="N33" s="43"/>
      <c r="O33" s="43"/>
      <c r="P33" s="74"/>
      <c r="Q33" s="92"/>
      <c r="R33" s="92"/>
    </row>
    <row r="34" spans="1:18" ht="35.25" hidden="1" customHeight="1" x14ac:dyDescent="0.3">
      <c r="A34" s="252"/>
      <c r="B34" s="254"/>
      <c r="C34" s="95" t="s">
        <v>116</v>
      </c>
      <c r="D34" s="78">
        <v>269920</v>
      </c>
      <c r="E34" s="78">
        <v>-269920</v>
      </c>
      <c r="F34" s="127">
        <f>D34+E34</f>
        <v>0</v>
      </c>
      <c r="G34" s="127"/>
      <c r="H34" s="126">
        <f t="shared" si="2"/>
        <v>0</v>
      </c>
      <c r="I34" s="144"/>
      <c r="J34" s="144"/>
      <c r="K34" s="145">
        <f t="shared" si="0"/>
        <v>0</v>
      </c>
      <c r="L34" s="145"/>
      <c r="M34" s="145">
        <f t="shared" si="3"/>
        <v>0</v>
      </c>
      <c r="N34" s="43"/>
      <c r="O34" s="43"/>
      <c r="P34" s="74"/>
      <c r="Q34" s="92"/>
      <c r="R34" s="92"/>
    </row>
    <row r="35" spans="1:18" ht="32.25" hidden="1" customHeight="1" x14ac:dyDescent="0.3">
      <c r="A35" s="252"/>
      <c r="B35" s="254"/>
      <c r="C35" s="95" t="s">
        <v>115</v>
      </c>
      <c r="D35" s="78">
        <v>253315</v>
      </c>
      <c r="E35" s="78">
        <v>-253315</v>
      </c>
      <c r="F35" s="127">
        <f>D35+E35</f>
        <v>0</v>
      </c>
      <c r="G35" s="127"/>
      <c r="H35" s="126">
        <f t="shared" si="2"/>
        <v>0</v>
      </c>
      <c r="I35" s="144"/>
      <c r="J35" s="144"/>
      <c r="K35" s="145">
        <f t="shared" si="0"/>
        <v>0</v>
      </c>
      <c r="L35" s="145"/>
      <c r="M35" s="145">
        <f t="shared" si="3"/>
        <v>0</v>
      </c>
      <c r="N35" s="43"/>
      <c r="O35" s="43"/>
      <c r="P35" s="74"/>
      <c r="Q35" s="92"/>
      <c r="R35" s="92"/>
    </row>
    <row r="36" spans="1:18" ht="45.75" hidden="1" customHeight="1" x14ac:dyDescent="0.3">
      <c r="A36" s="252"/>
      <c r="B36" s="254"/>
      <c r="C36" s="98" t="s">
        <v>114</v>
      </c>
      <c r="D36" s="78">
        <v>314615</v>
      </c>
      <c r="E36" s="78">
        <v>-314615</v>
      </c>
      <c r="F36" s="127">
        <f>D36+E36</f>
        <v>0</v>
      </c>
      <c r="G36" s="127"/>
      <c r="H36" s="126">
        <f t="shared" si="2"/>
        <v>0</v>
      </c>
      <c r="I36" s="144"/>
      <c r="J36" s="144"/>
      <c r="K36" s="145">
        <f t="shared" si="0"/>
        <v>0</v>
      </c>
      <c r="L36" s="145"/>
      <c r="M36" s="145">
        <f t="shared" si="3"/>
        <v>0</v>
      </c>
      <c r="N36" s="43"/>
      <c r="O36" s="43"/>
      <c r="P36" s="74"/>
      <c r="Q36" s="92"/>
      <c r="R36" s="92"/>
    </row>
    <row r="37" spans="1:18" ht="31.05" hidden="1" x14ac:dyDescent="0.3">
      <c r="A37" s="252"/>
      <c r="B37" s="254"/>
      <c r="C37" s="95" t="s">
        <v>113</v>
      </c>
      <c r="D37" s="78">
        <v>311237</v>
      </c>
      <c r="E37" s="78">
        <v>-311237</v>
      </c>
      <c r="F37" s="127">
        <f>D37+E37</f>
        <v>0</v>
      </c>
      <c r="G37" s="127"/>
      <c r="H37" s="126">
        <f t="shared" si="2"/>
        <v>0</v>
      </c>
      <c r="I37" s="144"/>
      <c r="J37" s="144"/>
      <c r="K37" s="145">
        <f t="shared" si="0"/>
        <v>0</v>
      </c>
      <c r="L37" s="145"/>
      <c r="M37" s="145">
        <f t="shared" si="3"/>
        <v>0</v>
      </c>
      <c r="N37" s="43"/>
      <c r="O37" s="43"/>
      <c r="P37" s="74"/>
      <c r="Q37" s="92"/>
      <c r="R37" s="92"/>
    </row>
    <row r="38" spans="1:18" ht="31.2" x14ac:dyDescent="0.25">
      <c r="A38" s="252"/>
      <c r="B38" s="254"/>
      <c r="C38" s="95" t="s">
        <v>112</v>
      </c>
      <c r="D38" s="78">
        <v>18809453.329999998</v>
      </c>
      <c r="E38" s="78">
        <f>F38-D38</f>
        <v>-9887454.1999999974</v>
      </c>
      <c r="F38" s="127">
        <v>8921999.1300000008</v>
      </c>
      <c r="G38" s="127"/>
      <c r="H38" s="126">
        <f t="shared" si="2"/>
        <v>8921999.1300000008</v>
      </c>
      <c r="I38" s="144"/>
      <c r="J38" s="144"/>
      <c r="K38" s="145">
        <f t="shared" si="0"/>
        <v>0</v>
      </c>
      <c r="L38" s="145"/>
      <c r="M38" s="145">
        <f t="shared" si="3"/>
        <v>0</v>
      </c>
      <c r="N38" s="43"/>
      <c r="O38" s="43"/>
      <c r="P38" s="74"/>
      <c r="Q38" s="92"/>
      <c r="R38" s="92"/>
    </row>
    <row r="39" spans="1:18" ht="46.8" x14ac:dyDescent="0.35">
      <c r="A39" s="252"/>
      <c r="B39" s="254"/>
      <c r="C39" s="95" t="s">
        <v>139</v>
      </c>
      <c r="D39" s="83">
        <v>402639.7</v>
      </c>
      <c r="E39" s="78">
        <f t="shared" si="4"/>
        <v>0</v>
      </c>
      <c r="F39" s="129">
        <v>402639.7</v>
      </c>
      <c r="G39" s="129"/>
      <c r="H39" s="126">
        <f t="shared" si="2"/>
        <v>402639.7</v>
      </c>
      <c r="I39" s="146"/>
      <c r="J39" s="146"/>
      <c r="K39" s="145">
        <f t="shared" si="0"/>
        <v>0</v>
      </c>
      <c r="L39" s="145"/>
      <c r="M39" s="145">
        <f t="shared" si="3"/>
        <v>0</v>
      </c>
      <c r="N39" s="43"/>
      <c r="O39" s="43"/>
      <c r="P39" s="74"/>
      <c r="Q39" s="92"/>
      <c r="R39" s="92"/>
    </row>
    <row r="40" spans="1:18" ht="31.2" x14ac:dyDescent="0.35">
      <c r="A40" s="252"/>
      <c r="B40" s="254"/>
      <c r="C40" s="95" t="s">
        <v>173</v>
      </c>
      <c r="D40" s="83"/>
      <c r="E40" s="78"/>
      <c r="F40" s="129"/>
      <c r="G40" s="129"/>
      <c r="H40" s="126">
        <f t="shared" si="2"/>
        <v>0</v>
      </c>
      <c r="I40" s="146">
        <v>124476.76</v>
      </c>
      <c r="J40" s="146">
        <f>I40-K40</f>
        <v>0</v>
      </c>
      <c r="K40" s="145">
        <f t="shared" si="0"/>
        <v>124476.76</v>
      </c>
      <c r="L40" s="145"/>
      <c r="M40" s="145">
        <f t="shared" si="3"/>
        <v>124476.76</v>
      </c>
      <c r="N40" s="43"/>
      <c r="O40" s="43"/>
      <c r="P40" s="74"/>
      <c r="Q40" s="92"/>
      <c r="R40" s="92"/>
    </row>
    <row r="41" spans="1:18" ht="31.2" x14ac:dyDescent="0.35">
      <c r="A41" s="252"/>
      <c r="B41" s="254"/>
      <c r="C41" s="95" t="s">
        <v>149</v>
      </c>
      <c r="D41" s="83"/>
      <c r="E41" s="78"/>
      <c r="F41" s="129"/>
      <c r="G41" s="129"/>
      <c r="H41" s="126">
        <f t="shared" si="2"/>
        <v>0</v>
      </c>
      <c r="I41" s="146">
        <v>98000</v>
      </c>
      <c r="J41" s="146">
        <f>I41-K41</f>
        <v>0</v>
      </c>
      <c r="K41" s="145">
        <f t="shared" si="0"/>
        <v>98000</v>
      </c>
      <c r="L41" s="145"/>
      <c r="M41" s="145">
        <f t="shared" si="3"/>
        <v>98000</v>
      </c>
      <c r="N41" s="43"/>
      <c r="O41" s="43"/>
      <c r="P41" s="74"/>
      <c r="Q41" s="92"/>
      <c r="R41" s="92"/>
    </row>
    <row r="42" spans="1:18" ht="21.75" customHeight="1" x14ac:dyDescent="0.35">
      <c r="A42" s="252"/>
      <c r="B42" s="254"/>
      <c r="C42" s="95" t="s">
        <v>150</v>
      </c>
      <c r="D42" s="83"/>
      <c r="E42" s="83"/>
      <c r="F42" s="129"/>
      <c r="G42" s="129"/>
      <c r="H42" s="126">
        <f t="shared" si="2"/>
        <v>0</v>
      </c>
      <c r="I42" s="146">
        <v>95550</v>
      </c>
      <c r="J42" s="146">
        <f>I42-K42</f>
        <v>0</v>
      </c>
      <c r="K42" s="145">
        <f t="shared" si="0"/>
        <v>95550</v>
      </c>
      <c r="L42" s="145"/>
      <c r="M42" s="145">
        <f t="shared" si="3"/>
        <v>95550</v>
      </c>
      <c r="N42" s="43"/>
      <c r="O42" s="43"/>
      <c r="P42" s="74"/>
      <c r="Q42" s="92"/>
      <c r="R42" s="92"/>
    </row>
    <row r="43" spans="1:18" ht="62.4" x14ac:dyDescent="0.35">
      <c r="A43" s="252"/>
      <c r="B43" s="254"/>
      <c r="C43" s="95" t="s">
        <v>151</v>
      </c>
      <c r="D43" s="83"/>
      <c r="E43" s="83"/>
      <c r="F43" s="129"/>
      <c r="G43" s="129"/>
      <c r="H43" s="126">
        <f t="shared" si="2"/>
        <v>0</v>
      </c>
      <c r="I43" s="146">
        <v>853000</v>
      </c>
      <c r="J43" s="146">
        <f>I43-K43</f>
        <v>0</v>
      </c>
      <c r="K43" s="145">
        <f t="shared" si="0"/>
        <v>853000</v>
      </c>
      <c r="L43" s="145"/>
      <c r="M43" s="145">
        <f t="shared" si="3"/>
        <v>853000</v>
      </c>
      <c r="N43" s="43"/>
      <c r="O43" s="43"/>
      <c r="P43" s="74"/>
      <c r="Q43" s="92"/>
      <c r="R43" s="92"/>
    </row>
    <row r="44" spans="1:18" ht="52.5" customHeight="1" x14ac:dyDescent="0.35">
      <c r="A44" s="252"/>
      <c r="B44" s="254"/>
      <c r="C44" s="95" t="s">
        <v>205</v>
      </c>
      <c r="D44" s="83"/>
      <c r="E44" s="83"/>
      <c r="F44" s="129"/>
      <c r="G44" s="129"/>
      <c r="H44" s="126">
        <f t="shared" si="2"/>
        <v>0</v>
      </c>
      <c r="I44" s="144">
        <v>1778942.44</v>
      </c>
      <c r="J44" s="146">
        <f>I44-K44</f>
        <v>-30147.610000000102</v>
      </c>
      <c r="K44" s="145">
        <v>1809090.05</v>
      </c>
      <c r="L44" s="145"/>
      <c r="M44" s="145">
        <f>K44+L44</f>
        <v>1809090.05</v>
      </c>
      <c r="N44" s="43"/>
      <c r="O44" s="43"/>
      <c r="P44" s="74"/>
      <c r="Q44" s="92"/>
      <c r="R44" s="92"/>
    </row>
    <row r="45" spans="1:18" ht="46.8" x14ac:dyDescent="0.35">
      <c r="A45" s="252"/>
      <c r="B45" s="254"/>
      <c r="C45" s="95" t="s">
        <v>152</v>
      </c>
      <c r="D45" s="83"/>
      <c r="E45" s="83"/>
      <c r="F45" s="129"/>
      <c r="G45" s="129"/>
      <c r="H45" s="126">
        <f t="shared" si="2"/>
        <v>0</v>
      </c>
      <c r="I45" s="144"/>
      <c r="J45" s="144"/>
      <c r="K45" s="145">
        <f t="shared" ref="K45:K71" si="5">I45</f>
        <v>0</v>
      </c>
      <c r="L45" s="145"/>
      <c r="M45" s="145">
        <f t="shared" si="3"/>
        <v>0</v>
      </c>
      <c r="N45" s="42">
        <v>228676</v>
      </c>
      <c r="O45" s="42">
        <f>N45-P45</f>
        <v>0</v>
      </c>
      <c r="P45" s="46">
        <v>228676</v>
      </c>
      <c r="Q45" s="92"/>
      <c r="R45" s="92">
        <f>P45+Q45</f>
        <v>228676</v>
      </c>
    </row>
    <row r="46" spans="1:18" ht="66" customHeight="1" x14ac:dyDescent="0.35">
      <c r="A46" s="249"/>
      <c r="B46" s="250"/>
      <c r="C46" s="95" t="s">
        <v>153</v>
      </c>
      <c r="D46" s="83"/>
      <c r="E46" s="83"/>
      <c r="F46" s="129"/>
      <c r="G46" s="129"/>
      <c r="H46" s="126">
        <f t="shared" si="2"/>
        <v>0</v>
      </c>
      <c r="I46" s="144"/>
      <c r="J46" s="144"/>
      <c r="K46" s="145">
        <f t="shared" si="5"/>
        <v>0</v>
      </c>
      <c r="L46" s="175"/>
      <c r="M46" s="145">
        <f t="shared" si="3"/>
        <v>0</v>
      </c>
      <c r="N46" s="206">
        <v>465371.98</v>
      </c>
      <c r="O46" s="206">
        <f>P46+P47-N46</f>
        <v>-23388.289999999979</v>
      </c>
      <c r="P46" s="46">
        <v>85906.14</v>
      </c>
      <c r="Q46" s="92"/>
      <c r="R46" s="92">
        <f t="shared" ref="R46:R48" si="6">P46+Q46</f>
        <v>85906.14</v>
      </c>
    </row>
    <row r="47" spans="1:18" ht="66" customHeight="1" x14ac:dyDescent="0.35">
      <c r="A47" s="249"/>
      <c r="B47" s="250"/>
      <c r="C47" s="95" t="s">
        <v>207</v>
      </c>
      <c r="D47" s="83"/>
      <c r="E47" s="83"/>
      <c r="F47" s="129"/>
      <c r="G47" s="129"/>
      <c r="H47" s="126">
        <f t="shared" si="2"/>
        <v>0</v>
      </c>
      <c r="I47" s="144"/>
      <c r="J47" s="144"/>
      <c r="K47" s="145">
        <f t="shared" si="5"/>
        <v>0</v>
      </c>
      <c r="L47" s="176"/>
      <c r="M47" s="145">
        <f t="shared" si="3"/>
        <v>0</v>
      </c>
      <c r="N47" s="240"/>
      <c r="O47" s="240"/>
      <c r="P47" s="46">
        <v>356077.55</v>
      </c>
      <c r="Q47" s="92"/>
      <c r="R47" s="92">
        <f t="shared" si="6"/>
        <v>356077.55</v>
      </c>
    </row>
    <row r="48" spans="1:18" ht="26.25" customHeight="1" x14ac:dyDescent="0.35">
      <c r="A48" s="207"/>
      <c r="B48" s="246"/>
      <c r="C48" s="95" t="s">
        <v>154</v>
      </c>
      <c r="D48" s="83"/>
      <c r="E48" s="83"/>
      <c r="F48" s="129"/>
      <c r="G48" s="129"/>
      <c r="H48" s="126">
        <f t="shared" si="2"/>
        <v>0</v>
      </c>
      <c r="I48" s="144"/>
      <c r="J48" s="144"/>
      <c r="K48" s="145">
        <f t="shared" si="5"/>
        <v>0</v>
      </c>
      <c r="L48" s="145"/>
      <c r="M48" s="145">
        <f t="shared" si="3"/>
        <v>0</v>
      </c>
      <c r="N48" s="42">
        <f>736471.76+80.26</f>
        <v>736552.02</v>
      </c>
      <c r="O48" s="42">
        <f>N48-P48</f>
        <v>-23388.290000000037</v>
      </c>
      <c r="P48" s="46">
        <v>759940.31</v>
      </c>
      <c r="Q48" s="92"/>
      <c r="R48" s="92">
        <f t="shared" si="6"/>
        <v>759940.31</v>
      </c>
    </row>
    <row r="49" spans="1:18" ht="18.75" customHeight="1" x14ac:dyDescent="0.35">
      <c r="A49" s="207"/>
      <c r="B49" s="246"/>
      <c r="C49" s="95" t="s">
        <v>155</v>
      </c>
      <c r="D49" s="83">
        <v>165000</v>
      </c>
      <c r="E49" s="83">
        <v>0</v>
      </c>
      <c r="F49" s="129">
        <f>D49+E49</f>
        <v>165000</v>
      </c>
      <c r="G49" s="129"/>
      <c r="H49" s="126">
        <f t="shared" si="2"/>
        <v>165000</v>
      </c>
      <c r="I49" s="144"/>
      <c r="J49" s="144"/>
      <c r="K49" s="145">
        <f t="shared" si="5"/>
        <v>0</v>
      </c>
      <c r="L49" s="145"/>
      <c r="M49" s="145">
        <f t="shared" si="3"/>
        <v>0</v>
      </c>
      <c r="N49" s="42"/>
      <c r="O49" s="42"/>
      <c r="P49" s="46"/>
      <c r="Q49" s="92"/>
      <c r="R49" s="92"/>
    </row>
    <row r="50" spans="1:18" ht="33.75" customHeight="1" x14ac:dyDescent="0.35">
      <c r="A50" s="207"/>
      <c r="B50" s="246"/>
      <c r="C50" s="95" t="s">
        <v>156</v>
      </c>
      <c r="D50" s="83">
        <v>2108379</v>
      </c>
      <c r="E50" s="83">
        <f t="shared" ref="E50:E56" si="7">D50-F50</f>
        <v>0.64000000013038516</v>
      </c>
      <c r="F50" s="129">
        <v>2108378.36</v>
      </c>
      <c r="G50" s="129"/>
      <c r="H50" s="126">
        <f t="shared" si="2"/>
        <v>2108378.36</v>
      </c>
      <c r="I50" s="144"/>
      <c r="J50" s="144"/>
      <c r="K50" s="145">
        <f t="shared" si="5"/>
        <v>0</v>
      </c>
      <c r="L50" s="145"/>
      <c r="M50" s="145">
        <f t="shared" si="3"/>
        <v>0</v>
      </c>
      <c r="N50" s="42"/>
      <c r="O50" s="42"/>
      <c r="P50" s="46"/>
      <c r="Q50" s="92"/>
      <c r="R50" s="92"/>
    </row>
    <row r="51" spans="1:18" ht="30.75" customHeight="1" x14ac:dyDescent="0.35">
      <c r="A51" s="207"/>
      <c r="B51" s="246"/>
      <c r="C51" s="98" t="s">
        <v>157</v>
      </c>
      <c r="D51" s="83">
        <v>1183028</v>
      </c>
      <c r="E51" s="83">
        <f t="shared" si="7"/>
        <v>0.61000000010244548</v>
      </c>
      <c r="F51" s="129">
        <v>1183027.3899999999</v>
      </c>
      <c r="G51" s="129"/>
      <c r="H51" s="126">
        <f t="shared" si="2"/>
        <v>1183027.3899999999</v>
      </c>
      <c r="I51" s="144"/>
      <c r="J51" s="144"/>
      <c r="K51" s="145">
        <f t="shared" si="5"/>
        <v>0</v>
      </c>
      <c r="L51" s="145"/>
      <c r="M51" s="145">
        <f t="shared" si="3"/>
        <v>0</v>
      </c>
      <c r="N51" s="42"/>
      <c r="O51" s="42"/>
      <c r="P51" s="46"/>
      <c r="Q51" s="92"/>
      <c r="R51" s="92"/>
    </row>
    <row r="52" spans="1:18" ht="37.5" customHeight="1" x14ac:dyDescent="0.35">
      <c r="A52" s="207"/>
      <c r="B52" s="246"/>
      <c r="C52" s="98" t="s">
        <v>162</v>
      </c>
      <c r="D52" s="83">
        <v>2193620</v>
      </c>
      <c r="E52" s="83">
        <f t="shared" si="7"/>
        <v>0.75999999977648258</v>
      </c>
      <c r="F52" s="129">
        <v>2193619.2400000002</v>
      </c>
      <c r="G52" s="129"/>
      <c r="H52" s="126">
        <f t="shared" si="2"/>
        <v>2193619.2400000002</v>
      </c>
      <c r="I52" s="144"/>
      <c r="J52" s="144"/>
      <c r="K52" s="145">
        <f t="shared" si="5"/>
        <v>0</v>
      </c>
      <c r="L52" s="145"/>
      <c r="M52" s="145">
        <f t="shared" si="3"/>
        <v>0</v>
      </c>
      <c r="N52" s="42"/>
      <c r="O52" s="42"/>
      <c r="P52" s="46"/>
      <c r="Q52" s="92"/>
      <c r="R52" s="92"/>
    </row>
    <row r="53" spans="1:18" ht="36.75" customHeight="1" x14ac:dyDescent="0.35">
      <c r="A53" s="207"/>
      <c r="B53" s="246"/>
      <c r="C53" s="98" t="s">
        <v>161</v>
      </c>
      <c r="D53" s="83">
        <v>1466337</v>
      </c>
      <c r="E53" s="83">
        <f t="shared" si="7"/>
        <v>0.62000000011175871</v>
      </c>
      <c r="F53" s="129">
        <v>1466336.38</v>
      </c>
      <c r="G53" s="129"/>
      <c r="H53" s="126">
        <f t="shared" si="2"/>
        <v>1466336.38</v>
      </c>
      <c r="I53" s="144"/>
      <c r="J53" s="144"/>
      <c r="K53" s="145">
        <f t="shared" si="5"/>
        <v>0</v>
      </c>
      <c r="L53" s="145"/>
      <c r="M53" s="145">
        <f t="shared" si="3"/>
        <v>0</v>
      </c>
      <c r="N53" s="42"/>
      <c r="O53" s="42"/>
      <c r="P53" s="46"/>
      <c r="Q53" s="92"/>
      <c r="R53" s="92"/>
    </row>
    <row r="54" spans="1:18" ht="32.25" customHeight="1" x14ac:dyDescent="0.35">
      <c r="A54" s="207"/>
      <c r="B54" s="246"/>
      <c r="C54" s="99" t="s">
        <v>160</v>
      </c>
      <c r="D54" s="83">
        <v>1192513</v>
      </c>
      <c r="E54" s="83">
        <f t="shared" si="7"/>
        <v>0.93999999994412065</v>
      </c>
      <c r="F54" s="129">
        <v>1192512.06</v>
      </c>
      <c r="G54" s="129"/>
      <c r="H54" s="126">
        <f t="shared" si="2"/>
        <v>1192512.06</v>
      </c>
      <c r="I54" s="144"/>
      <c r="J54" s="144"/>
      <c r="K54" s="145">
        <f t="shared" si="5"/>
        <v>0</v>
      </c>
      <c r="L54" s="145"/>
      <c r="M54" s="145">
        <f t="shared" si="3"/>
        <v>0</v>
      </c>
      <c r="N54" s="42"/>
      <c r="O54" s="42"/>
      <c r="P54" s="46"/>
      <c r="Q54" s="92"/>
      <c r="R54" s="92"/>
    </row>
    <row r="55" spans="1:18" ht="19.5" customHeight="1" x14ac:dyDescent="0.35">
      <c r="A55" s="207"/>
      <c r="B55" s="246"/>
      <c r="C55" s="99" t="s">
        <v>159</v>
      </c>
      <c r="D55" s="83">
        <v>154147</v>
      </c>
      <c r="E55" s="83">
        <f t="shared" si="7"/>
        <v>0.69000000000232831</v>
      </c>
      <c r="F55" s="129">
        <v>154146.31</v>
      </c>
      <c r="G55" s="129"/>
      <c r="H55" s="126">
        <f t="shared" si="2"/>
        <v>154146.31</v>
      </c>
      <c r="I55" s="144"/>
      <c r="J55" s="144"/>
      <c r="K55" s="145">
        <f t="shared" si="5"/>
        <v>0</v>
      </c>
      <c r="L55" s="145"/>
      <c r="M55" s="145">
        <f t="shared" si="3"/>
        <v>0</v>
      </c>
      <c r="N55" s="42"/>
      <c r="O55" s="42"/>
      <c r="P55" s="46"/>
      <c r="Q55" s="92"/>
      <c r="R55" s="92"/>
    </row>
    <row r="56" spans="1:18" ht="26.25" customHeight="1" x14ac:dyDescent="0.35">
      <c r="A56" s="212"/>
      <c r="B56" s="247"/>
      <c r="C56" s="99" t="s">
        <v>158</v>
      </c>
      <c r="D56" s="83">
        <v>46782</v>
      </c>
      <c r="E56" s="83">
        <f t="shared" si="7"/>
        <v>0.26000000000203727</v>
      </c>
      <c r="F56" s="129">
        <v>46781.74</v>
      </c>
      <c r="G56" s="129"/>
      <c r="H56" s="126">
        <f t="shared" si="2"/>
        <v>46781.74</v>
      </c>
      <c r="I56" s="144"/>
      <c r="J56" s="144"/>
      <c r="K56" s="145">
        <f t="shared" si="5"/>
        <v>0</v>
      </c>
      <c r="L56" s="145"/>
      <c r="M56" s="145">
        <f t="shared" si="3"/>
        <v>0</v>
      </c>
      <c r="N56" s="42"/>
      <c r="O56" s="42"/>
      <c r="P56" s="46"/>
      <c r="Q56" s="92"/>
      <c r="R56" s="92"/>
    </row>
    <row r="57" spans="1:18" ht="78" x14ac:dyDescent="0.35">
      <c r="A57" s="119"/>
      <c r="B57" s="118"/>
      <c r="C57" s="99" t="s">
        <v>223</v>
      </c>
      <c r="D57" s="92">
        <v>0</v>
      </c>
      <c r="E57" s="83">
        <v>1610031.43</v>
      </c>
      <c r="F57" s="182">
        <f>D57+E57</f>
        <v>1610031.43</v>
      </c>
      <c r="G57" s="182"/>
      <c r="H57" s="126">
        <f t="shared" si="2"/>
        <v>1610031.43</v>
      </c>
      <c r="I57" s="144"/>
      <c r="J57" s="144"/>
      <c r="K57" s="145">
        <f t="shared" si="5"/>
        <v>0</v>
      </c>
      <c r="L57" s="145"/>
      <c r="M57" s="145">
        <f t="shared" si="3"/>
        <v>0</v>
      </c>
      <c r="N57" s="42"/>
      <c r="O57" s="42"/>
      <c r="P57" s="46"/>
      <c r="Q57" s="92"/>
      <c r="R57" s="92"/>
    </row>
    <row r="58" spans="1:18" ht="46.8" x14ac:dyDescent="0.35">
      <c r="A58" s="119"/>
      <c r="B58" s="118"/>
      <c r="C58" s="99" t="s">
        <v>224</v>
      </c>
      <c r="D58" s="92">
        <v>0</v>
      </c>
      <c r="E58" s="83">
        <v>9228087.0899999999</v>
      </c>
      <c r="F58" s="182">
        <f t="shared" ref="F58:F71" si="8">D58+E58</f>
        <v>9228087.0899999999</v>
      </c>
      <c r="G58" s="182">
        <f>H58-F58</f>
        <v>16444485.600000001</v>
      </c>
      <c r="H58" s="183">
        <v>25672572.690000001</v>
      </c>
      <c r="I58" s="144"/>
      <c r="J58" s="144"/>
      <c r="K58" s="145">
        <f t="shared" si="5"/>
        <v>0</v>
      </c>
      <c r="L58" s="145"/>
      <c r="M58" s="145">
        <f t="shared" si="3"/>
        <v>0</v>
      </c>
      <c r="N58" s="42"/>
      <c r="O58" s="42"/>
      <c r="P58" s="46"/>
      <c r="Q58" s="92"/>
      <c r="R58" s="92"/>
    </row>
    <row r="59" spans="1:18" ht="46.8" x14ac:dyDescent="0.35">
      <c r="A59" s="119"/>
      <c r="B59" s="118"/>
      <c r="C59" s="99" t="s">
        <v>225</v>
      </c>
      <c r="D59" s="92">
        <v>0</v>
      </c>
      <c r="E59" s="83">
        <v>2333481</v>
      </c>
      <c r="F59" s="182">
        <f t="shared" si="8"/>
        <v>2333481</v>
      </c>
      <c r="G59" s="182">
        <f>H59-F59</f>
        <v>4167229.26</v>
      </c>
      <c r="H59" s="183">
        <v>6500710.2599999998</v>
      </c>
      <c r="I59" s="144"/>
      <c r="J59" s="144"/>
      <c r="K59" s="145">
        <f t="shared" si="5"/>
        <v>0</v>
      </c>
      <c r="L59" s="145"/>
      <c r="M59" s="145">
        <f t="shared" si="3"/>
        <v>0</v>
      </c>
      <c r="N59" s="42"/>
      <c r="O59" s="42"/>
      <c r="P59" s="46"/>
      <c r="Q59" s="92"/>
      <c r="R59" s="92"/>
    </row>
    <row r="60" spans="1:18" ht="124.8" x14ac:dyDescent="0.35">
      <c r="A60" s="119"/>
      <c r="B60" s="118"/>
      <c r="C60" s="99" t="s">
        <v>226</v>
      </c>
      <c r="D60" s="92">
        <v>0</v>
      </c>
      <c r="E60" s="83">
        <v>81464.460000000006</v>
      </c>
      <c r="F60" s="182">
        <f t="shared" si="8"/>
        <v>81464.460000000006</v>
      </c>
      <c r="G60" s="182"/>
      <c r="H60" s="126">
        <f t="shared" si="2"/>
        <v>81464.460000000006</v>
      </c>
      <c r="I60" s="144"/>
      <c r="J60" s="144"/>
      <c r="K60" s="145">
        <f t="shared" si="5"/>
        <v>0</v>
      </c>
      <c r="L60" s="145"/>
      <c r="M60" s="145">
        <f t="shared" si="3"/>
        <v>0</v>
      </c>
      <c r="N60" s="42"/>
      <c r="O60" s="42"/>
      <c r="P60" s="46"/>
      <c r="Q60" s="92"/>
      <c r="R60" s="92"/>
    </row>
    <row r="61" spans="1:18" ht="132" customHeight="1" x14ac:dyDescent="0.35">
      <c r="A61" s="119"/>
      <c r="B61" s="118"/>
      <c r="C61" s="99" t="s">
        <v>227</v>
      </c>
      <c r="D61" s="92">
        <v>0</v>
      </c>
      <c r="E61" s="83">
        <v>97127.8</v>
      </c>
      <c r="F61" s="182">
        <f t="shared" si="8"/>
        <v>97127.8</v>
      </c>
      <c r="G61" s="129"/>
      <c r="H61" s="126">
        <f t="shared" si="2"/>
        <v>97127.8</v>
      </c>
      <c r="I61" s="144"/>
      <c r="J61" s="144"/>
      <c r="K61" s="145">
        <f t="shared" si="5"/>
        <v>0</v>
      </c>
      <c r="L61" s="145"/>
      <c r="M61" s="145">
        <f t="shared" si="3"/>
        <v>0</v>
      </c>
      <c r="N61" s="42"/>
      <c r="O61" s="42"/>
      <c r="P61" s="46"/>
      <c r="Q61" s="92"/>
      <c r="R61" s="92"/>
    </row>
    <row r="62" spans="1:18" ht="124.8" x14ac:dyDescent="0.35">
      <c r="A62" s="119"/>
      <c r="B62" s="118"/>
      <c r="C62" s="99" t="s">
        <v>228</v>
      </c>
      <c r="D62" s="92">
        <v>0</v>
      </c>
      <c r="E62" s="83">
        <v>696000</v>
      </c>
      <c r="F62" s="182">
        <f t="shared" si="8"/>
        <v>696000</v>
      </c>
      <c r="G62" s="129"/>
      <c r="H62" s="126">
        <f t="shared" si="2"/>
        <v>696000</v>
      </c>
      <c r="I62" s="144"/>
      <c r="J62" s="144"/>
      <c r="K62" s="145">
        <f t="shared" si="5"/>
        <v>0</v>
      </c>
      <c r="L62" s="145"/>
      <c r="M62" s="145">
        <f t="shared" si="3"/>
        <v>0</v>
      </c>
      <c r="N62" s="42"/>
      <c r="O62" s="42"/>
      <c r="P62" s="46"/>
      <c r="Q62" s="92"/>
      <c r="R62" s="92"/>
    </row>
    <row r="63" spans="1:18" ht="96.75" customHeight="1" x14ac:dyDescent="0.35">
      <c r="A63" s="119"/>
      <c r="B63" s="118"/>
      <c r="C63" s="99" t="s">
        <v>229</v>
      </c>
      <c r="D63" s="92">
        <v>0</v>
      </c>
      <c r="E63" s="83">
        <v>1992740</v>
      </c>
      <c r="F63" s="182">
        <f t="shared" si="8"/>
        <v>1992740</v>
      </c>
      <c r="G63" s="129"/>
      <c r="H63" s="126">
        <f t="shared" si="2"/>
        <v>1992740</v>
      </c>
      <c r="I63" s="144"/>
      <c r="J63" s="144"/>
      <c r="K63" s="145">
        <f t="shared" si="5"/>
        <v>0</v>
      </c>
      <c r="L63" s="145"/>
      <c r="M63" s="145">
        <f t="shared" si="3"/>
        <v>0</v>
      </c>
      <c r="N63" s="42"/>
      <c r="O63" s="42"/>
      <c r="P63" s="46"/>
      <c r="Q63" s="92"/>
      <c r="R63" s="92"/>
    </row>
    <row r="64" spans="1:18" ht="30" customHeight="1" x14ac:dyDescent="0.35">
      <c r="A64" s="119"/>
      <c r="B64" s="118"/>
      <c r="C64" s="99" t="s">
        <v>230</v>
      </c>
      <c r="D64" s="92">
        <v>0</v>
      </c>
      <c r="E64" s="83">
        <v>1018178.08</v>
      </c>
      <c r="F64" s="182">
        <f t="shared" si="8"/>
        <v>1018178.08</v>
      </c>
      <c r="G64" s="129"/>
      <c r="H64" s="126">
        <f t="shared" si="2"/>
        <v>1018178.08</v>
      </c>
      <c r="I64" s="144"/>
      <c r="J64" s="144"/>
      <c r="K64" s="145">
        <f t="shared" si="5"/>
        <v>0</v>
      </c>
      <c r="L64" s="145"/>
      <c r="M64" s="145">
        <f t="shared" si="3"/>
        <v>0</v>
      </c>
      <c r="N64" s="42"/>
      <c r="O64" s="42"/>
      <c r="P64" s="46"/>
      <c r="Q64" s="92"/>
      <c r="R64" s="92"/>
    </row>
    <row r="65" spans="1:18" ht="79.5" customHeight="1" x14ac:dyDescent="0.35">
      <c r="A65" s="119"/>
      <c r="B65" s="118"/>
      <c r="C65" s="99" t="s">
        <v>231</v>
      </c>
      <c r="D65" s="92">
        <v>0</v>
      </c>
      <c r="E65" s="83">
        <v>303997.46000000002</v>
      </c>
      <c r="F65" s="182">
        <f t="shared" si="8"/>
        <v>303997.46000000002</v>
      </c>
      <c r="G65" s="129"/>
      <c r="H65" s="126">
        <f t="shared" si="2"/>
        <v>303997.46000000002</v>
      </c>
      <c r="I65" s="144"/>
      <c r="J65" s="144"/>
      <c r="K65" s="145">
        <f t="shared" si="5"/>
        <v>0</v>
      </c>
      <c r="L65" s="145"/>
      <c r="M65" s="145">
        <f t="shared" si="3"/>
        <v>0</v>
      </c>
      <c r="N65" s="42"/>
      <c r="O65" s="42"/>
      <c r="P65" s="46"/>
      <c r="Q65" s="92"/>
      <c r="R65" s="92"/>
    </row>
    <row r="66" spans="1:18" ht="35.25" customHeight="1" x14ac:dyDescent="0.35">
      <c r="A66" s="119"/>
      <c r="B66" s="118"/>
      <c r="C66" s="99" t="s">
        <v>232</v>
      </c>
      <c r="D66" s="92">
        <v>0</v>
      </c>
      <c r="E66" s="83">
        <v>75000</v>
      </c>
      <c r="F66" s="182">
        <f t="shared" si="8"/>
        <v>75000</v>
      </c>
      <c r="G66" s="129"/>
      <c r="H66" s="126">
        <f t="shared" si="2"/>
        <v>75000</v>
      </c>
      <c r="I66" s="144"/>
      <c r="J66" s="144"/>
      <c r="K66" s="145">
        <f t="shared" si="5"/>
        <v>0</v>
      </c>
      <c r="L66" s="145"/>
      <c r="M66" s="145">
        <f t="shared" si="3"/>
        <v>0</v>
      </c>
      <c r="N66" s="42"/>
      <c r="O66" s="42"/>
      <c r="P66" s="46"/>
      <c r="Q66" s="92"/>
      <c r="R66" s="92"/>
    </row>
    <row r="67" spans="1:18" ht="32.25" customHeight="1" x14ac:dyDescent="0.35">
      <c r="A67" s="119"/>
      <c r="B67" s="118"/>
      <c r="C67" s="99" t="s">
        <v>233</v>
      </c>
      <c r="D67" s="92">
        <v>0</v>
      </c>
      <c r="E67" s="83">
        <v>378000</v>
      </c>
      <c r="F67" s="182">
        <f t="shared" si="8"/>
        <v>378000</v>
      </c>
      <c r="G67" s="129"/>
      <c r="H67" s="126">
        <f t="shared" si="2"/>
        <v>378000</v>
      </c>
      <c r="I67" s="144"/>
      <c r="J67" s="144"/>
      <c r="K67" s="145">
        <f t="shared" si="5"/>
        <v>0</v>
      </c>
      <c r="L67" s="145"/>
      <c r="M67" s="145">
        <f t="shared" si="3"/>
        <v>0</v>
      </c>
      <c r="N67" s="42"/>
      <c r="O67" s="42"/>
      <c r="P67" s="46"/>
      <c r="Q67" s="92"/>
      <c r="R67" s="92"/>
    </row>
    <row r="68" spans="1:18" ht="124.8" x14ac:dyDescent="0.35">
      <c r="A68" s="119"/>
      <c r="B68" s="118"/>
      <c r="C68" s="99" t="s">
        <v>204</v>
      </c>
      <c r="D68" s="92">
        <v>0</v>
      </c>
      <c r="E68" s="83">
        <v>907589.77</v>
      </c>
      <c r="F68" s="182">
        <f t="shared" si="8"/>
        <v>907589.77</v>
      </c>
      <c r="G68" s="129"/>
      <c r="H68" s="126">
        <f t="shared" si="2"/>
        <v>907589.77</v>
      </c>
      <c r="I68" s="144"/>
      <c r="J68" s="144"/>
      <c r="K68" s="145">
        <f t="shared" si="5"/>
        <v>0</v>
      </c>
      <c r="L68" s="145"/>
      <c r="M68" s="145">
        <f t="shared" si="3"/>
        <v>0</v>
      </c>
      <c r="N68" s="42"/>
      <c r="O68" s="42"/>
      <c r="P68" s="46"/>
      <c r="Q68" s="92"/>
      <c r="R68" s="92"/>
    </row>
    <row r="69" spans="1:18" ht="93.6" x14ac:dyDescent="0.35">
      <c r="A69" s="119"/>
      <c r="B69" s="118"/>
      <c r="C69" s="99" t="s">
        <v>234</v>
      </c>
      <c r="D69" s="92">
        <v>0</v>
      </c>
      <c r="E69" s="83">
        <v>137374.59</v>
      </c>
      <c r="F69" s="182">
        <f t="shared" si="8"/>
        <v>137374.59</v>
      </c>
      <c r="G69" s="129"/>
      <c r="H69" s="126">
        <f t="shared" si="2"/>
        <v>137374.59</v>
      </c>
      <c r="I69" s="144"/>
      <c r="J69" s="144"/>
      <c r="K69" s="145">
        <f t="shared" si="5"/>
        <v>0</v>
      </c>
      <c r="L69" s="145"/>
      <c r="M69" s="145">
        <f t="shared" si="3"/>
        <v>0</v>
      </c>
      <c r="N69" s="42"/>
      <c r="O69" s="42"/>
      <c r="P69" s="46"/>
      <c r="Q69" s="92"/>
      <c r="R69" s="92"/>
    </row>
    <row r="70" spans="1:18" ht="78" x14ac:dyDescent="0.35">
      <c r="A70" s="119"/>
      <c r="B70" s="118"/>
      <c r="C70" s="99" t="s">
        <v>235</v>
      </c>
      <c r="D70" s="92"/>
      <c r="E70" s="83">
        <v>473000</v>
      </c>
      <c r="F70" s="182">
        <f t="shared" si="8"/>
        <v>473000</v>
      </c>
      <c r="G70" s="129"/>
      <c r="H70" s="126">
        <f t="shared" si="2"/>
        <v>473000</v>
      </c>
      <c r="I70" s="144"/>
      <c r="J70" s="144"/>
      <c r="K70" s="145">
        <f t="shared" si="5"/>
        <v>0</v>
      </c>
      <c r="L70" s="145"/>
      <c r="M70" s="145">
        <f t="shared" si="3"/>
        <v>0</v>
      </c>
      <c r="N70" s="42"/>
      <c r="O70" s="42"/>
      <c r="P70" s="46"/>
      <c r="Q70" s="92"/>
      <c r="R70" s="92"/>
    </row>
    <row r="71" spans="1:18" ht="57" customHeight="1" x14ac:dyDescent="0.4">
      <c r="A71" s="119"/>
      <c r="B71" s="118"/>
      <c r="C71" s="122" t="str">
        <f>'прил 1 '!C70</f>
        <v>-работы по усилению пулеперехвата                                   в полузакрытом тире</v>
      </c>
      <c r="D71" s="92"/>
      <c r="E71" s="83">
        <v>530205.42000000004</v>
      </c>
      <c r="F71" s="182">
        <f t="shared" si="8"/>
        <v>530205.42000000004</v>
      </c>
      <c r="G71" s="129"/>
      <c r="H71" s="126">
        <f t="shared" ref="H71:H140" si="9">F71</f>
        <v>530205.42000000004</v>
      </c>
      <c r="I71" s="144"/>
      <c r="J71" s="144"/>
      <c r="K71" s="145">
        <f t="shared" si="5"/>
        <v>0</v>
      </c>
      <c r="L71" s="145"/>
      <c r="M71" s="145">
        <f t="shared" ref="M71:M93" si="10">K71+L71</f>
        <v>0</v>
      </c>
      <c r="N71" s="42"/>
      <c r="O71" s="42"/>
      <c r="P71" s="46"/>
      <c r="Q71" s="92"/>
      <c r="R71" s="92"/>
    </row>
    <row r="72" spans="1:18" ht="80.25" customHeight="1" x14ac:dyDescent="0.35">
      <c r="A72" s="119"/>
      <c r="B72" s="118"/>
      <c r="C72" s="122" t="s">
        <v>262</v>
      </c>
      <c r="D72" s="92"/>
      <c r="E72" s="83"/>
      <c r="F72" s="129"/>
      <c r="G72" s="184">
        <v>2545077.81</v>
      </c>
      <c r="H72" s="183">
        <f>F72+G72</f>
        <v>2545077.81</v>
      </c>
      <c r="I72" s="144"/>
      <c r="J72" s="144"/>
      <c r="K72" s="145"/>
      <c r="L72" s="145"/>
      <c r="M72" s="145">
        <f t="shared" si="10"/>
        <v>0</v>
      </c>
      <c r="N72" s="42"/>
      <c r="O72" s="42"/>
      <c r="P72" s="46"/>
      <c r="Q72" s="92"/>
      <c r="R72" s="92"/>
    </row>
    <row r="73" spans="1:18" ht="90.75" customHeight="1" x14ac:dyDescent="0.35">
      <c r="A73" s="119"/>
      <c r="B73" s="118"/>
      <c r="C73" s="122" t="s">
        <v>263</v>
      </c>
      <c r="D73" s="92"/>
      <c r="E73" s="83"/>
      <c r="F73" s="129"/>
      <c r="G73" s="182">
        <v>158676.70000000001</v>
      </c>
      <c r="H73" s="183">
        <f t="shared" ref="H73:H87" si="11">F73+G73</f>
        <v>158676.70000000001</v>
      </c>
      <c r="I73" s="144"/>
      <c r="J73" s="144"/>
      <c r="K73" s="145"/>
      <c r="L73" s="145"/>
      <c r="M73" s="145">
        <f t="shared" si="10"/>
        <v>0</v>
      </c>
      <c r="N73" s="42"/>
      <c r="O73" s="42"/>
      <c r="P73" s="46"/>
      <c r="Q73" s="92"/>
      <c r="R73" s="92"/>
    </row>
    <row r="74" spans="1:18" ht="75.75" customHeight="1" x14ac:dyDescent="0.35">
      <c r="A74" s="119"/>
      <c r="B74" s="118"/>
      <c r="C74" s="122" t="s">
        <v>264</v>
      </c>
      <c r="D74" s="92"/>
      <c r="E74" s="83"/>
      <c r="F74" s="129"/>
      <c r="G74" s="182">
        <v>3053158.28</v>
      </c>
      <c r="H74" s="183">
        <f t="shared" si="11"/>
        <v>3053158.28</v>
      </c>
      <c r="I74" s="144"/>
      <c r="J74" s="144"/>
      <c r="K74" s="145"/>
      <c r="L74" s="145"/>
      <c r="M74" s="145">
        <f t="shared" si="10"/>
        <v>0</v>
      </c>
      <c r="N74" s="42"/>
      <c r="O74" s="42"/>
      <c r="P74" s="46"/>
      <c r="Q74" s="92"/>
      <c r="R74" s="92"/>
    </row>
    <row r="75" spans="1:18" ht="75.75" customHeight="1" x14ac:dyDescent="0.35">
      <c r="A75" s="119"/>
      <c r="B75" s="118"/>
      <c r="C75" s="122" t="s">
        <v>274</v>
      </c>
      <c r="D75" s="92"/>
      <c r="E75" s="83"/>
      <c r="F75" s="129"/>
      <c r="G75" s="182">
        <v>534544.07999999996</v>
      </c>
      <c r="H75" s="183">
        <f>F75+G75</f>
        <v>534544.07999999996</v>
      </c>
      <c r="I75" s="144"/>
      <c r="J75" s="144"/>
      <c r="K75" s="145"/>
      <c r="L75" s="145"/>
      <c r="M75" s="145">
        <f t="shared" si="10"/>
        <v>0</v>
      </c>
      <c r="N75" s="42"/>
      <c r="O75" s="42"/>
      <c r="P75" s="46"/>
      <c r="Q75" s="92"/>
      <c r="R75" s="92"/>
    </row>
    <row r="76" spans="1:18" ht="57" customHeight="1" x14ac:dyDescent="0.35">
      <c r="A76" s="119"/>
      <c r="B76" s="118"/>
      <c r="C76" s="122" t="s">
        <v>265</v>
      </c>
      <c r="D76" s="92"/>
      <c r="E76" s="83"/>
      <c r="F76" s="129"/>
      <c r="G76" s="184">
        <v>94000</v>
      </c>
      <c r="H76" s="183">
        <f t="shared" si="11"/>
        <v>94000</v>
      </c>
      <c r="I76" s="144"/>
      <c r="J76" s="144"/>
      <c r="K76" s="145"/>
      <c r="L76" s="145"/>
      <c r="M76" s="145">
        <f t="shared" si="10"/>
        <v>0</v>
      </c>
      <c r="N76" s="42"/>
      <c r="O76" s="42"/>
      <c r="P76" s="46"/>
      <c r="Q76" s="92"/>
      <c r="R76" s="92"/>
    </row>
    <row r="77" spans="1:18" ht="57" customHeight="1" x14ac:dyDescent="0.35">
      <c r="A77" s="119"/>
      <c r="B77" s="118"/>
      <c r="C77" s="122" t="s">
        <v>266</v>
      </c>
      <c r="D77" s="92"/>
      <c r="E77" s="83"/>
      <c r="F77" s="129"/>
      <c r="G77" s="129"/>
      <c r="H77" s="126">
        <f t="shared" si="11"/>
        <v>0</v>
      </c>
      <c r="I77" s="144"/>
      <c r="J77" s="144"/>
      <c r="K77" s="145"/>
      <c r="L77" s="185">
        <v>350000</v>
      </c>
      <c r="M77" s="145">
        <f t="shared" si="10"/>
        <v>350000</v>
      </c>
      <c r="N77" s="42"/>
      <c r="O77" s="42"/>
      <c r="P77" s="46"/>
      <c r="Q77" s="92"/>
      <c r="R77" s="92"/>
    </row>
    <row r="78" spans="1:18" ht="87" customHeight="1" x14ac:dyDescent="0.35">
      <c r="A78" s="119"/>
      <c r="B78" s="118"/>
      <c r="C78" s="122" t="s">
        <v>278</v>
      </c>
      <c r="D78" s="92"/>
      <c r="E78" s="83"/>
      <c r="F78" s="129"/>
      <c r="G78" s="184">
        <v>130000</v>
      </c>
      <c r="H78" s="183">
        <f t="shared" si="11"/>
        <v>130000</v>
      </c>
      <c r="I78" s="144"/>
      <c r="J78" s="144"/>
      <c r="K78" s="145"/>
      <c r="L78" s="145"/>
      <c r="M78" s="145">
        <f t="shared" si="10"/>
        <v>0</v>
      </c>
      <c r="N78" s="42"/>
      <c r="O78" s="42"/>
      <c r="P78" s="46"/>
      <c r="Q78" s="92"/>
      <c r="R78" s="92"/>
    </row>
    <row r="79" spans="1:18" ht="62.4" x14ac:dyDescent="0.35">
      <c r="A79" s="119"/>
      <c r="B79" s="118"/>
      <c r="C79" s="122" t="s">
        <v>276</v>
      </c>
      <c r="D79" s="92"/>
      <c r="E79" s="83"/>
      <c r="F79" s="129"/>
      <c r="G79" s="184">
        <v>120000</v>
      </c>
      <c r="H79" s="183">
        <f>F79+G79</f>
        <v>120000</v>
      </c>
      <c r="I79" s="144"/>
      <c r="J79" s="144"/>
      <c r="K79" s="145"/>
      <c r="L79" s="145"/>
      <c r="M79" s="145">
        <f t="shared" si="10"/>
        <v>0</v>
      </c>
      <c r="N79" s="42"/>
      <c r="O79" s="42"/>
      <c r="P79" s="46"/>
      <c r="Q79" s="92"/>
      <c r="R79" s="92"/>
    </row>
    <row r="80" spans="1:18" ht="43.5" customHeight="1" x14ac:dyDescent="0.35">
      <c r="A80" s="119"/>
      <c r="B80" s="118"/>
      <c r="C80" s="122" t="s">
        <v>289</v>
      </c>
      <c r="D80" s="92"/>
      <c r="E80" s="83"/>
      <c r="F80" s="129"/>
      <c r="G80" s="184">
        <v>599141.43999999994</v>
      </c>
      <c r="H80" s="183">
        <f t="shared" si="11"/>
        <v>599141.43999999994</v>
      </c>
      <c r="I80" s="144"/>
      <c r="J80" s="144"/>
      <c r="K80" s="145"/>
      <c r="L80" s="145"/>
      <c r="M80" s="145">
        <f t="shared" si="10"/>
        <v>0</v>
      </c>
      <c r="N80" s="42"/>
      <c r="O80" s="42"/>
      <c r="P80" s="46"/>
      <c r="Q80" s="92"/>
      <c r="R80" s="92"/>
    </row>
    <row r="81" spans="1:18" ht="187.2" x14ac:dyDescent="0.35">
      <c r="A81" s="119"/>
      <c r="B81" s="118"/>
      <c r="C81" s="122" t="s">
        <v>267</v>
      </c>
      <c r="D81" s="92"/>
      <c r="E81" s="83"/>
      <c r="F81" s="129"/>
      <c r="G81" s="184">
        <v>489000</v>
      </c>
      <c r="H81" s="183">
        <f t="shared" si="11"/>
        <v>489000</v>
      </c>
      <c r="I81" s="144"/>
      <c r="J81" s="144"/>
      <c r="K81" s="145"/>
      <c r="L81" s="145"/>
      <c r="M81" s="145">
        <f t="shared" si="10"/>
        <v>0</v>
      </c>
      <c r="N81" s="42"/>
      <c r="O81" s="42"/>
      <c r="P81" s="46"/>
      <c r="Q81" s="92"/>
      <c r="R81" s="92"/>
    </row>
    <row r="82" spans="1:18" ht="171.6" x14ac:dyDescent="0.35">
      <c r="A82" s="119"/>
      <c r="B82" s="118"/>
      <c r="C82" s="122" t="s">
        <v>268</v>
      </c>
      <c r="D82" s="92"/>
      <c r="E82" s="83"/>
      <c r="F82" s="129"/>
      <c r="G82" s="184">
        <v>22961833.739999998</v>
      </c>
      <c r="H82" s="183">
        <f t="shared" si="11"/>
        <v>22961833.739999998</v>
      </c>
      <c r="I82" s="144"/>
      <c r="J82" s="144"/>
      <c r="K82" s="145"/>
      <c r="L82" s="145"/>
      <c r="M82" s="145">
        <f t="shared" si="10"/>
        <v>0</v>
      </c>
      <c r="N82" s="42"/>
      <c r="O82" s="42"/>
      <c r="P82" s="46"/>
      <c r="Q82" s="92"/>
      <c r="R82" s="92"/>
    </row>
    <row r="83" spans="1:18" ht="46.8" x14ac:dyDescent="0.35">
      <c r="A83" s="119"/>
      <c r="B83" s="118"/>
      <c r="C83" s="122" t="s">
        <v>269</v>
      </c>
      <c r="D83" s="92"/>
      <c r="E83" s="83"/>
      <c r="F83" s="129"/>
      <c r="G83" s="184">
        <v>223905.33</v>
      </c>
      <c r="H83" s="183">
        <f t="shared" si="11"/>
        <v>223905.33</v>
      </c>
      <c r="I83" s="144"/>
      <c r="J83" s="144"/>
      <c r="K83" s="145"/>
      <c r="L83" s="145"/>
      <c r="M83" s="145">
        <f t="shared" si="10"/>
        <v>0</v>
      </c>
      <c r="N83" s="42"/>
      <c r="O83" s="42"/>
      <c r="P83" s="46"/>
      <c r="Q83" s="92"/>
      <c r="R83" s="92"/>
    </row>
    <row r="84" spans="1:18" ht="87.75" customHeight="1" x14ac:dyDescent="0.35">
      <c r="A84" s="119"/>
      <c r="B84" s="118"/>
      <c r="C84" s="122" t="s">
        <v>280</v>
      </c>
      <c r="D84" s="92"/>
      <c r="E84" s="83"/>
      <c r="F84" s="129"/>
      <c r="G84" s="184">
        <v>54000</v>
      </c>
      <c r="H84" s="183">
        <f t="shared" si="11"/>
        <v>54000</v>
      </c>
      <c r="I84" s="144"/>
      <c r="J84" s="144"/>
      <c r="K84" s="145"/>
      <c r="L84" s="145"/>
      <c r="M84" s="145">
        <f t="shared" si="10"/>
        <v>0</v>
      </c>
      <c r="N84" s="42"/>
      <c r="O84" s="42"/>
      <c r="P84" s="46"/>
      <c r="Q84" s="92"/>
      <c r="R84" s="92"/>
    </row>
    <row r="85" spans="1:18" ht="31.2" x14ac:dyDescent="0.35">
      <c r="A85" s="119"/>
      <c r="B85" s="118"/>
      <c r="C85" s="122" t="s">
        <v>270</v>
      </c>
      <c r="D85" s="92"/>
      <c r="E85" s="83"/>
      <c r="F85" s="129"/>
      <c r="G85" s="184">
        <v>433693.66</v>
      </c>
      <c r="H85" s="183">
        <f t="shared" si="11"/>
        <v>433693.66</v>
      </c>
      <c r="I85" s="144"/>
      <c r="J85" s="144"/>
      <c r="K85" s="145"/>
      <c r="L85" s="145"/>
      <c r="M85" s="145">
        <f t="shared" si="10"/>
        <v>0</v>
      </c>
      <c r="N85" s="42"/>
      <c r="O85" s="42"/>
      <c r="P85" s="46"/>
      <c r="Q85" s="92"/>
      <c r="R85" s="92"/>
    </row>
    <row r="86" spans="1:18" ht="96" customHeight="1" x14ac:dyDescent="0.35">
      <c r="A86" s="119"/>
      <c r="B86" s="118"/>
      <c r="C86" s="122" t="s">
        <v>305</v>
      </c>
      <c r="D86" s="92"/>
      <c r="E86" s="83"/>
      <c r="F86" s="129"/>
      <c r="G86" s="184">
        <v>523720.48</v>
      </c>
      <c r="H86" s="183">
        <f t="shared" si="11"/>
        <v>523720.48</v>
      </c>
      <c r="I86" s="144"/>
      <c r="J86" s="144"/>
      <c r="K86" s="145"/>
      <c r="L86" s="145"/>
      <c r="M86" s="145">
        <f t="shared" si="10"/>
        <v>0</v>
      </c>
      <c r="N86" s="42"/>
      <c r="O86" s="42"/>
      <c r="P86" s="46"/>
      <c r="Q86" s="92"/>
      <c r="R86" s="92"/>
    </row>
    <row r="87" spans="1:18" ht="31.2" x14ac:dyDescent="0.35">
      <c r="A87" s="119"/>
      <c r="B87" s="118"/>
      <c r="C87" s="122" t="s">
        <v>271</v>
      </c>
      <c r="D87" s="92"/>
      <c r="E87" s="83"/>
      <c r="F87" s="129"/>
      <c r="G87" s="184">
        <v>1903308.68</v>
      </c>
      <c r="H87" s="183">
        <f t="shared" si="11"/>
        <v>1903308.68</v>
      </c>
      <c r="I87" s="144"/>
      <c r="J87" s="144"/>
      <c r="K87" s="145"/>
      <c r="L87" s="145"/>
      <c r="M87" s="145">
        <f t="shared" si="10"/>
        <v>0</v>
      </c>
      <c r="N87" s="42"/>
      <c r="O87" s="42"/>
      <c r="P87" s="46"/>
      <c r="Q87" s="92"/>
      <c r="R87" s="92"/>
    </row>
    <row r="88" spans="1:18" ht="46.8" x14ac:dyDescent="0.35">
      <c r="A88" s="119"/>
      <c r="B88" s="118"/>
      <c r="C88" s="122" t="s">
        <v>275</v>
      </c>
      <c r="D88" s="92"/>
      <c r="E88" s="83"/>
      <c r="F88" s="129"/>
      <c r="G88" s="184">
        <v>6630000</v>
      </c>
      <c r="H88" s="183">
        <f t="shared" ref="H88" si="12">F88+G88</f>
        <v>6630000</v>
      </c>
      <c r="I88" s="144"/>
      <c r="J88" s="144"/>
      <c r="K88" s="145"/>
      <c r="L88" s="145"/>
      <c r="M88" s="145">
        <f t="shared" si="10"/>
        <v>0</v>
      </c>
      <c r="N88" s="42"/>
      <c r="O88" s="42"/>
      <c r="P88" s="46"/>
      <c r="Q88" s="92"/>
      <c r="R88" s="92"/>
    </row>
    <row r="89" spans="1:18" ht="84" hidden="1" customHeight="1" x14ac:dyDescent="0.4">
      <c r="M89" s="145">
        <f t="shared" si="10"/>
        <v>0</v>
      </c>
    </row>
    <row r="90" spans="1:18" ht="31.2" x14ac:dyDescent="0.35">
      <c r="A90" s="119"/>
      <c r="B90" s="118"/>
      <c r="C90" s="122" t="s">
        <v>277</v>
      </c>
      <c r="D90" s="92"/>
      <c r="E90" s="83"/>
      <c r="F90" s="129"/>
      <c r="G90" s="184">
        <f>4000000+1526314.6</f>
        <v>5526314.5999999996</v>
      </c>
      <c r="H90" s="183">
        <f>F90+G90</f>
        <v>5526314.5999999996</v>
      </c>
      <c r="I90" s="144"/>
      <c r="J90" s="144"/>
      <c r="K90" s="145"/>
      <c r="L90" s="145"/>
      <c r="M90" s="145">
        <f t="shared" si="10"/>
        <v>0</v>
      </c>
      <c r="N90" s="42"/>
      <c r="O90" s="42"/>
      <c r="P90" s="46"/>
      <c r="Q90" s="92"/>
      <c r="R90" s="92"/>
    </row>
    <row r="91" spans="1:18" ht="93.6" x14ac:dyDescent="0.35">
      <c r="A91" s="119"/>
      <c r="B91" s="118"/>
      <c r="C91" s="122" t="s">
        <v>272</v>
      </c>
      <c r="D91" s="92"/>
      <c r="E91" s="83"/>
      <c r="F91" s="129"/>
      <c r="G91" s="129"/>
      <c r="H91" s="126"/>
      <c r="I91" s="144"/>
      <c r="J91" s="144"/>
      <c r="K91" s="145"/>
      <c r="L91" s="145"/>
      <c r="M91" s="145">
        <f t="shared" si="10"/>
        <v>0</v>
      </c>
      <c r="N91" s="42"/>
      <c r="O91" s="42"/>
      <c r="P91" s="46"/>
      <c r="Q91" s="186">
        <v>11122836.890000001</v>
      </c>
      <c r="R91" s="186">
        <f>P91+Q91</f>
        <v>11122836.890000001</v>
      </c>
    </row>
    <row r="92" spans="1:18" ht="57" customHeight="1" x14ac:dyDescent="0.25">
      <c r="A92" s="119"/>
      <c r="B92" s="118"/>
      <c r="C92" s="178" t="s">
        <v>273</v>
      </c>
      <c r="D92" s="92"/>
      <c r="E92" s="92"/>
      <c r="F92" s="92"/>
      <c r="G92" s="92"/>
      <c r="H92" s="126"/>
      <c r="I92" s="144"/>
      <c r="J92" s="144"/>
      <c r="K92" s="145"/>
      <c r="L92" s="145"/>
      <c r="M92" s="145">
        <f t="shared" si="10"/>
        <v>0</v>
      </c>
      <c r="N92" s="42"/>
      <c r="O92" s="42"/>
      <c r="P92" s="46"/>
      <c r="Q92" s="186">
        <f>47612526.35-8701191.55</f>
        <v>38911334.799999997</v>
      </c>
      <c r="R92" s="186">
        <f>P92+Q92</f>
        <v>38911334.799999997</v>
      </c>
    </row>
    <row r="93" spans="1:18" ht="38.25" customHeight="1" x14ac:dyDescent="0.25">
      <c r="A93" s="119"/>
      <c r="B93" s="118"/>
      <c r="C93" s="181" t="s">
        <v>279</v>
      </c>
      <c r="D93" s="92"/>
      <c r="E93" s="92"/>
      <c r="F93" s="92"/>
      <c r="G93" s="92"/>
      <c r="H93" s="126"/>
      <c r="I93" s="144"/>
      <c r="J93" s="144"/>
      <c r="K93" s="145"/>
      <c r="L93" s="145"/>
      <c r="M93" s="145">
        <f t="shared" si="10"/>
        <v>0</v>
      </c>
      <c r="N93" s="42"/>
      <c r="O93" s="42"/>
      <c r="P93" s="46"/>
      <c r="Q93" s="186">
        <v>8701191.5500000007</v>
      </c>
      <c r="R93" s="186">
        <f>P93+Q93</f>
        <v>8701191.5500000007</v>
      </c>
    </row>
    <row r="94" spans="1:18" s="156" customFormat="1" ht="66.75" customHeight="1" x14ac:dyDescent="0.25">
      <c r="A94" s="255" t="s">
        <v>164</v>
      </c>
      <c r="B94" s="255"/>
      <c r="C94" s="255"/>
      <c r="D94" s="127">
        <f>SUM(D6:D71)</f>
        <v>73644730.800000012</v>
      </c>
      <c r="E94" s="127"/>
      <c r="F94" s="127">
        <f>SUM(F6:F71)</f>
        <v>74194283.189999998</v>
      </c>
      <c r="G94" s="126">
        <f t="shared" ref="G94:R94" si="13">SUM(G6:G93)</f>
        <v>66592089.659999989</v>
      </c>
      <c r="H94" s="126">
        <f t="shared" si="13"/>
        <v>140786372.84999999</v>
      </c>
      <c r="I94" s="126">
        <f t="shared" si="13"/>
        <v>2949969.2</v>
      </c>
      <c r="J94" s="126">
        <f t="shared" si="13"/>
        <v>-30147.610000000102</v>
      </c>
      <c r="K94" s="126">
        <f t="shared" si="13"/>
        <v>2980116.81</v>
      </c>
      <c r="L94" s="126">
        <f t="shared" si="13"/>
        <v>350000</v>
      </c>
      <c r="M94" s="126">
        <f t="shared" si="13"/>
        <v>3330116.81</v>
      </c>
      <c r="N94" s="126">
        <f t="shared" si="13"/>
        <v>1430600</v>
      </c>
      <c r="O94" s="126">
        <f t="shared" si="13"/>
        <v>-46776.580000000016</v>
      </c>
      <c r="P94" s="126">
        <f t="shared" si="13"/>
        <v>1430600</v>
      </c>
      <c r="Q94" s="126">
        <f t="shared" si="13"/>
        <v>58735363.239999995</v>
      </c>
      <c r="R94" s="126">
        <f t="shared" si="13"/>
        <v>60165963.239999995</v>
      </c>
    </row>
    <row r="95" spans="1:18" ht="54" customHeight="1" x14ac:dyDescent="0.35">
      <c r="A95" s="73" t="s">
        <v>111</v>
      </c>
      <c r="B95" s="206" t="s">
        <v>174</v>
      </c>
      <c r="C95" s="59" t="s">
        <v>245</v>
      </c>
      <c r="D95" s="79">
        <v>500000</v>
      </c>
      <c r="E95" s="79"/>
      <c r="F95" s="130">
        <f>D95+E95</f>
        <v>500000</v>
      </c>
      <c r="G95" s="130"/>
      <c r="H95" s="126">
        <f t="shared" si="9"/>
        <v>500000</v>
      </c>
      <c r="I95" s="148"/>
      <c r="J95" s="148"/>
      <c r="K95" s="145">
        <f>I95</f>
        <v>0</v>
      </c>
      <c r="L95" s="145"/>
      <c r="M95" s="145"/>
      <c r="N95" s="70"/>
      <c r="O95" s="70"/>
      <c r="P95" s="137"/>
      <c r="Q95" s="92"/>
      <c r="R95" s="92"/>
    </row>
    <row r="96" spans="1:18" ht="100.5" customHeight="1" x14ac:dyDescent="0.35">
      <c r="A96" s="73"/>
      <c r="B96" s="256"/>
      <c r="C96" s="59" t="s">
        <v>200</v>
      </c>
      <c r="D96" s="79">
        <v>13090500</v>
      </c>
      <c r="E96" s="79"/>
      <c r="F96" s="130">
        <f t="shared" ref="F96:F104" si="14">D96+E96</f>
        <v>13090500</v>
      </c>
      <c r="G96" s="130">
        <v>-13090500</v>
      </c>
      <c r="H96" s="126">
        <f>F96+G96</f>
        <v>0</v>
      </c>
      <c r="I96" s="148"/>
      <c r="J96" s="148"/>
      <c r="K96" s="145">
        <f>I96</f>
        <v>0</v>
      </c>
      <c r="L96" s="145"/>
      <c r="M96" s="145"/>
      <c r="N96" s="70"/>
      <c r="O96" s="70"/>
      <c r="P96" s="137"/>
      <c r="Q96" s="92"/>
      <c r="R96" s="92"/>
    </row>
    <row r="97" spans="1:18" ht="100.5" customHeight="1" x14ac:dyDescent="0.35">
      <c r="A97" s="73"/>
      <c r="B97" s="256"/>
      <c r="C97" s="59" t="s">
        <v>281</v>
      </c>
      <c r="D97" s="79"/>
      <c r="E97" s="79"/>
      <c r="F97" s="130"/>
      <c r="G97" s="130">
        <v>6187719.9199999999</v>
      </c>
      <c r="H97" s="126">
        <f>F97+G97</f>
        <v>6187719.9199999999</v>
      </c>
      <c r="I97" s="148"/>
      <c r="J97" s="148"/>
      <c r="K97" s="145"/>
      <c r="L97" s="145"/>
      <c r="M97" s="145"/>
      <c r="N97" s="70"/>
      <c r="O97" s="70"/>
      <c r="P97" s="137"/>
      <c r="Q97" s="92"/>
      <c r="R97" s="92"/>
    </row>
    <row r="98" spans="1:18" ht="187.2" x14ac:dyDescent="0.35">
      <c r="A98" s="73"/>
      <c r="B98" s="256"/>
      <c r="C98" s="59" t="s">
        <v>283</v>
      </c>
      <c r="D98" s="79"/>
      <c r="E98" s="79"/>
      <c r="F98" s="130"/>
      <c r="G98" s="130">
        <v>6719426.21</v>
      </c>
      <c r="H98" s="126">
        <f>F98+G98</f>
        <v>6719426.21</v>
      </c>
      <c r="I98" s="148"/>
      <c r="J98" s="148"/>
      <c r="K98" s="145"/>
      <c r="L98" s="145"/>
      <c r="M98" s="145"/>
      <c r="N98" s="70"/>
      <c r="O98" s="70"/>
      <c r="P98" s="137"/>
      <c r="Q98" s="92"/>
      <c r="R98" s="92"/>
    </row>
    <row r="99" spans="1:18" ht="93.6" x14ac:dyDescent="0.35">
      <c r="A99" s="73"/>
      <c r="B99" s="256"/>
      <c r="C99" s="59" t="s">
        <v>284</v>
      </c>
      <c r="D99" s="79"/>
      <c r="E99" s="79"/>
      <c r="F99" s="130"/>
      <c r="G99" s="130">
        <v>5234</v>
      </c>
      <c r="H99" s="126">
        <f t="shared" ref="H99:H103" si="15">F99+G99</f>
        <v>5234</v>
      </c>
      <c r="I99" s="148"/>
      <c r="J99" s="148"/>
      <c r="K99" s="145"/>
      <c r="L99" s="145"/>
      <c r="M99" s="145"/>
      <c r="N99" s="70"/>
      <c r="O99" s="70"/>
      <c r="P99" s="137"/>
      <c r="Q99" s="92"/>
      <c r="R99" s="92"/>
    </row>
    <row r="100" spans="1:18" ht="93.6" x14ac:dyDescent="0.35">
      <c r="A100" s="73"/>
      <c r="B100" s="256"/>
      <c r="C100" s="59" t="s">
        <v>285</v>
      </c>
      <c r="D100" s="79"/>
      <c r="E100" s="79"/>
      <c r="F100" s="130"/>
      <c r="G100" s="130">
        <v>3307</v>
      </c>
      <c r="H100" s="126">
        <f t="shared" si="15"/>
        <v>3307</v>
      </c>
      <c r="I100" s="148"/>
      <c r="J100" s="148"/>
      <c r="K100" s="145"/>
      <c r="L100" s="145"/>
      <c r="M100" s="145"/>
      <c r="N100" s="70"/>
      <c r="O100" s="70"/>
      <c r="P100" s="137"/>
      <c r="Q100" s="92"/>
      <c r="R100" s="92"/>
    </row>
    <row r="101" spans="1:18" ht="102.75" customHeight="1" x14ac:dyDescent="0.35">
      <c r="A101" s="73"/>
      <c r="B101" s="256"/>
      <c r="C101" s="59" t="s">
        <v>286</v>
      </c>
      <c r="D101" s="79"/>
      <c r="E101" s="79"/>
      <c r="F101" s="130"/>
      <c r="G101" s="130">
        <v>134784</v>
      </c>
      <c r="H101" s="126">
        <f t="shared" si="15"/>
        <v>134784</v>
      </c>
      <c r="I101" s="148"/>
      <c r="J101" s="148"/>
      <c r="K101" s="145"/>
      <c r="L101" s="145"/>
      <c r="M101" s="145"/>
      <c r="N101" s="70"/>
      <c r="O101" s="70"/>
      <c r="P101" s="137"/>
      <c r="Q101" s="92"/>
      <c r="R101" s="92"/>
    </row>
    <row r="102" spans="1:18" ht="102.75" customHeight="1" x14ac:dyDescent="0.35">
      <c r="A102" s="73"/>
      <c r="B102" s="256"/>
      <c r="C102" s="59" t="s">
        <v>287</v>
      </c>
      <c r="D102" s="79"/>
      <c r="E102" s="79"/>
      <c r="F102" s="130"/>
      <c r="G102" s="130">
        <v>4044</v>
      </c>
      <c r="H102" s="126">
        <f t="shared" si="15"/>
        <v>4044</v>
      </c>
      <c r="I102" s="148"/>
      <c r="J102" s="148"/>
      <c r="K102" s="145"/>
      <c r="L102" s="145"/>
      <c r="M102" s="145"/>
      <c r="N102" s="70"/>
      <c r="O102" s="70"/>
      <c r="P102" s="137"/>
      <c r="Q102" s="92"/>
      <c r="R102" s="92"/>
    </row>
    <row r="103" spans="1:18" ht="102.75" customHeight="1" x14ac:dyDescent="0.35">
      <c r="A103" s="73"/>
      <c r="B103" s="256"/>
      <c r="C103" s="59" t="s">
        <v>282</v>
      </c>
      <c r="D103" s="79"/>
      <c r="E103" s="79"/>
      <c r="F103" s="130"/>
      <c r="G103" s="130">
        <v>35996</v>
      </c>
      <c r="H103" s="126">
        <f t="shared" si="15"/>
        <v>35996</v>
      </c>
      <c r="I103" s="148"/>
      <c r="J103" s="148"/>
      <c r="K103" s="145"/>
      <c r="L103" s="145"/>
      <c r="M103" s="145"/>
      <c r="N103" s="70"/>
      <c r="O103" s="70"/>
      <c r="P103" s="137"/>
      <c r="Q103" s="92"/>
      <c r="R103" s="92"/>
    </row>
    <row r="104" spans="1:18" ht="46.8" x14ac:dyDescent="0.35">
      <c r="A104" s="73"/>
      <c r="B104" s="240"/>
      <c r="C104" s="59" t="s">
        <v>181</v>
      </c>
      <c r="D104" s="79">
        <v>992000</v>
      </c>
      <c r="E104" s="79"/>
      <c r="F104" s="130">
        <f t="shared" si="14"/>
        <v>992000</v>
      </c>
      <c r="G104" s="130">
        <f>H104-F104</f>
        <v>-11.130000000004657</v>
      </c>
      <c r="H104" s="126">
        <v>991988.87</v>
      </c>
      <c r="I104" s="148"/>
      <c r="J104" s="148"/>
      <c r="K104" s="145">
        <f>I104</f>
        <v>0</v>
      </c>
      <c r="L104" s="145"/>
      <c r="M104" s="145"/>
      <c r="N104" s="70"/>
      <c r="O104" s="70"/>
      <c r="P104" s="137"/>
      <c r="Q104" s="92"/>
      <c r="R104" s="92"/>
    </row>
    <row r="105" spans="1:18" s="156" customFormat="1" ht="53.25" customHeight="1" x14ac:dyDescent="0.3">
      <c r="A105" s="257" t="s">
        <v>165</v>
      </c>
      <c r="B105" s="257"/>
      <c r="C105" s="257"/>
      <c r="D105" s="130">
        <f>SUM(D95:D104)</f>
        <v>14582500</v>
      </c>
      <c r="E105" s="130">
        <f t="shared" ref="E105:F105" si="16">SUM(E95:E104)</f>
        <v>0</v>
      </c>
      <c r="F105" s="130">
        <f t="shared" si="16"/>
        <v>14582500</v>
      </c>
      <c r="G105" s="130"/>
      <c r="H105" s="126">
        <f>F105</f>
        <v>14582500</v>
      </c>
      <c r="I105" s="149"/>
      <c r="J105" s="149"/>
      <c r="K105" s="149"/>
      <c r="L105" s="149"/>
      <c r="M105" s="149"/>
      <c r="N105" s="138"/>
      <c r="O105" s="138"/>
      <c r="P105" s="138"/>
      <c r="Q105" s="131"/>
      <c r="R105" s="131"/>
    </row>
    <row r="106" spans="1:18" ht="148.5" customHeight="1" x14ac:dyDescent="0.35">
      <c r="A106" s="209" t="s">
        <v>53</v>
      </c>
      <c r="B106" s="215" t="s">
        <v>175</v>
      </c>
      <c r="C106" s="59" t="s">
        <v>239</v>
      </c>
      <c r="D106" s="79">
        <v>450075</v>
      </c>
      <c r="E106" s="79">
        <f>F106-D106</f>
        <v>-136373</v>
      </c>
      <c r="F106" s="130">
        <v>313702</v>
      </c>
      <c r="G106" s="130"/>
      <c r="H106" s="126">
        <f t="shared" si="9"/>
        <v>313702</v>
      </c>
      <c r="I106" s="148"/>
      <c r="J106" s="148"/>
      <c r="K106" s="149"/>
      <c r="L106" s="149"/>
      <c r="M106" s="149"/>
      <c r="N106" s="70"/>
      <c r="O106" s="70"/>
      <c r="P106" s="137"/>
      <c r="Q106" s="92"/>
      <c r="R106" s="92"/>
    </row>
    <row r="107" spans="1:18" ht="148.5" customHeight="1" x14ac:dyDescent="0.35">
      <c r="A107" s="210"/>
      <c r="B107" s="216"/>
      <c r="C107" s="59" t="s">
        <v>214</v>
      </c>
      <c r="D107" s="79"/>
      <c r="E107" s="79">
        <f>14912+9304</f>
        <v>24216</v>
      </c>
      <c r="F107" s="130">
        <f>D107+E107</f>
        <v>24216</v>
      </c>
      <c r="G107" s="130"/>
      <c r="H107" s="126">
        <f t="shared" si="9"/>
        <v>24216</v>
      </c>
      <c r="I107" s="148"/>
      <c r="J107" s="148"/>
      <c r="K107" s="149"/>
      <c r="L107" s="149"/>
      <c r="M107" s="149"/>
      <c r="N107" s="70"/>
      <c r="O107" s="70"/>
      <c r="P107" s="137"/>
      <c r="Q107" s="92"/>
      <c r="R107" s="92"/>
    </row>
    <row r="108" spans="1:18" ht="162.75" customHeight="1" x14ac:dyDescent="0.35">
      <c r="A108" s="210"/>
      <c r="B108" s="216"/>
      <c r="C108" s="59" t="s">
        <v>201</v>
      </c>
      <c r="D108" s="79"/>
      <c r="E108" s="79"/>
      <c r="F108" s="130">
        <f t="shared" ref="F108:F112" si="17">D108+E108</f>
        <v>0</v>
      </c>
      <c r="G108" s="130"/>
      <c r="H108" s="126">
        <f t="shared" si="9"/>
        <v>0</v>
      </c>
      <c r="I108" s="148">
        <v>320611.52</v>
      </c>
      <c r="J108" s="148">
        <f>K108-I108</f>
        <v>289357</v>
      </c>
      <c r="K108" s="149">
        <v>609968.52</v>
      </c>
      <c r="L108" s="149"/>
      <c r="M108" s="149"/>
      <c r="N108" s="70"/>
      <c r="O108" s="70"/>
      <c r="P108" s="137"/>
      <c r="Q108" s="92"/>
      <c r="R108" s="92"/>
    </row>
    <row r="109" spans="1:18" ht="67.5" customHeight="1" x14ac:dyDescent="0.35">
      <c r="A109" s="249"/>
      <c r="B109" s="250"/>
      <c r="C109" s="59" t="s">
        <v>185</v>
      </c>
      <c r="D109" s="79">
        <v>99925</v>
      </c>
      <c r="E109" s="79"/>
      <c r="F109" s="130">
        <f t="shared" si="17"/>
        <v>99925</v>
      </c>
      <c r="G109" s="130"/>
      <c r="H109" s="126">
        <f t="shared" si="9"/>
        <v>99925</v>
      </c>
      <c r="I109" s="148"/>
      <c r="J109" s="148"/>
      <c r="K109" s="149">
        <f>I109+J109</f>
        <v>0</v>
      </c>
      <c r="L109" s="149"/>
      <c r="M109" s="149"/>
      <c r="N109" s="70"/>
      <c r="O109" s="70"/>
      <c r="P109" s="137"/>
      <c r="Q109" s="92"/>
      <c r="R109" s="92"/>
    </row>
    <row r="110" spans="1:18" ht="78" customHeight="1" x14ac:dyDescent="0.35">
      <c r="A110" s="87"/>
      <c r="B110" s="87"/>
      <c r="C110" s="88" t="s">
        <v>176</v>
      </c>
      <c r="D110" s="92"/>
      <c r="E110" s="92"/>
      <c r="F110" s="130">
        <f t="shared" si="17"/>
        <v>0</v>
      </c>
      <c r="G110" s="130"/>
      <c r="H110" s="126">
        <f t="shared" si="9"/>
        <v>0</v>
      </c>
      <c r="I110" s="150">
        <v>177200</v>
      </c>
      <c r="J110" s="150">
        <v>-177200</v>
      </c>
      <c r="K110" s="149">
        <f>I110+J110</f>
        <v>0</v>
      </c>
      <c r="L110" s="149"/>
      <c r="M110" s="149"/>
      <c r="N110" s="70"/>
      <c r="O110" s="70"/>
      <c r="P110" s="137"/>
      <c r="Q110" s="92"/>
      <c r="R110" s="92"/>
    </row>
    <row r="111" spans="1:18" ht="82.5" customHeight="1" x14ac:dyDescent="0.25">
      <c r="A111" s="87"/>
      <c r="B111" s="87"/>
      <c r="C111" s="59" t="s">
        <v>182</v>
      </c>
      <c r="D111" s="92"/>
      <c r="E111" s="92"/>
      <c r="F111" s="130">
        <f t="shared" si="17"/>
        <v>0</v>
      </c>
      <c r="G111" s="130"/>
      <c r="H111" s="126">
        <f t="shared" si="9"/>
        <v>0</v>
      </c>
      <c r="I111" s="150"/>
      <c r="J111" s="150"/>
      <c r="K111" s="149">
        <f>I111+J111</f>
        <v>0</v>
      </c>
      <c r="L111" s="149"/>
      <c r="M111" s="149"/>
      <c r="N111" s="91">
        <v>180378</v>
      </c>
      <c r="O111" s="91">
        <f>P111-N111</f>
        <v>-33609.399999999994</v>
      </c>
      <c r="P111" s="139">
        <v>146768.6</v>
      </c>
      <c r="Q111" s="92"/>
      <c r="R111" s="180">
        <f>P111+Q111</f>
        <v>146768.6</v>
      </c>
    </row>
    <row r="112" spans="1:18" ht="129" customHeight="1" x14ac:dyDescent="0.25">
      <c r="A112" s="87"/>
      <c r="B112" s="87"/>
      <c r="C112" s="59" t="s">
        <v>215</v>
      </c>
      <c r="D112" s="92"/>
      <c r="E112" s="92"/>
      <c r="F112" s="130">
        <f t="shared" si="17"/>
        <v>0</v>
      </c>
      <c r="G112" s="130"/>
      <c r="H112" s="126">
        <f t="shared" si="9"/>
        <v>0</v>
      </c>
      <c r="I112" s="150"/>
      <c r="J112" s="150"/>
      <c r="K112" s="149">
        <f>I112+J112</f>
        <v>0</v>
      </c>
      <c r="L112" s="149"/>
      <c r="M112" s="149"/>
      <c r="N112" s="91">
        <v>454622</v>
      </c>
      <c r="O112" s="91">
        <f>P112-N112</f>
        <v>33609.400000000023</v>
      </c>
      <c r="P112" s="139">
        <v>488231.4</v>
      </c>
      <c r="Q112" s="92"/>
      <c r="R112" s="180">
        <f t="shared" ref="R112:R118" si="18">P112+Q112</f>
        <v>488231.4</v>
      </c>
    </row>
    <row r="113" spans="1:18" s="156" customFormat="1" ht="38.25" customHeight="1" x14ac:dyDescent="0.25">
      <c r="A113" s="255" t="s">
        <v>166</v>
      </c>
      <c r="B113" s="255"/>
      <c r="C113" s="255"/>
      <c r="D113" s="127">
        <f>D106+D109+D110+D111+D112+D108+D107</f>
        <v>550000</v>
      </c>
      <c r="E113" s="127"/>
      <c r="F113" s="127">
        <f>F106+F109+F110+F111+F112+F108+F107</f>
        <v>437843</v>
      </c>
      <c r="G113" s="127"/>
      <c r="H113" s="126">
        <f>F113</f>
        <v>437843</v>
      </c>
      <c r="I113" s="147">
        <f>I106+I109+I110+I111+I112+I108+I107</f>
        <v>497811.52</v>
      </c>
      <c r="J113" s="147"/>
      <c r="K113" s="147">
        <f t="shared" ref="K113" si="19">K106+K109+K110+K111+K112+K108+K107</f>
        <v>609968.52</v>
      </c>
      <c r="L113" s="147"/>
      <c r="M113" s="147"/>
      <c r="N113" s="127">
        <f t="shared" ref="N113" si="20">N106+N109+N110+N111+N112+N108+N107</f>
        <v>635000</v>
      </c>
      <c r="O113" s="127"/>
      <c r="P113" s="139">
        <f>P112+P111</f>
        <v>635000</v>
      </c>
      <c r="Q113" s="139">
        <f t="shared" ref="Q113:R113" si="21">Q112+Q111</f>
        <v>0</v>
      </c>
      <c r="R113" s="139">
        <f t="shared" si="21"/>
        <v>635000</v>
      </c>
    </row>
    <row r="114" spans="1:18" ht="206.25" customHeight="1" x14ac:dyDescent="0.25">
      <c r="A114" s="209" t="s">
        <v>58</v>
      </c>
      <c r="B114" s="215" t="s">
        <v>55</v>
      </c>
      <c r="C114" s="59" t="s">
        <v>177</v>
      </c>
      <c r="D114" s="79"/>
      <c r="E114" s="79"/>
      <c r="F114" s="130">
        <f>D114+E114</f>
        <v>0</v>
      </c>
      <c r="G114" s="130"/>
      <c r="H114" s="126">
        <f t="shared" si="9"/>
        <v>0</v>
      </c>
      <c r="I114" s="148"/>
      <c r="J114" s="148"/>
      <c r="K114" s="149">
        <f t="shared" ref="K114:K121" si="22">I114+J114</f>
        <v>0</v>
      </c>
      <c r="L114" s="149"/>
      <c r="M114" s="149"/>
      <c r="N114" s="91">
        <v>529800</v>
      </c>
      <c r="O114" s="91"/>
      <c r="P114" s="139">
        <f t="shared" ref="P114:P140" si="23">N114+O114</f>
        <v>529800</v>
      </c>
      <c r="Q114" s="92"/>
      <c r="R114" s="180">
        <f t="shared" si="18"/>
        <v>529800</v>
      </c>
    </row>
    <row r="115" spans="1:18" ht="132" customHeight="1" x14ac:dyDescent="0.25">
      <c r="A115" s="207"/>
      <c r="B115" s="246"/>
      <c r="C115" s="59" t="s">
        <v>184</v>
      </c>
      <c r="D115" s="79"/>
      <c r="E115" s="79"/>
      <c r="F115" s="130">
        <f t="shared" ref="F115:F119" si="24">D115+E115</f>
        <v>0</v>
      </c>
      <c r="G115" s="130"/>
      <c r="H115" s="126">
        <f t="shared" si="9"/>
        <v>0</v>
      </c>
      <c r="I115" s="148"/>
      <c r="J115" s="148"/>
      <c r="K115" s="149">
        <f t="shared" si="22"/>
        <v>0</v>
      </c>
      <c r="L115" s="149"/>
      <c r="M115" s="149"/>
      <c r="N115" s="91">
        <v>420000</v>
      </c>
      <c r="O115" s="91"/>
      <c r="P115" s="139">
        <f t="shared" si="23"/>
        <v>420000</v>
      </c>
      <c r="Q115" s="92"/>
      <c r="R115" s="180">
        <f t="shared" si="18"/>
        <v>420000</v>
      </c>
    </row>
    <row r="116" spans="1:18" ht="88.5" customHeight="1" x14ac:dyDescent="0.25">
      <c r="A116" s="207"/>
      <c r="B116" s="246"/>
      <c r="C116" s="59" t="s">
        <v>183</v>
      </c>
      <c r="D116" s="79">
        <v>10200</v>
      </c>
      <c r="E116" s="79"/>
      <c r="F116" s="130">
        <f t="shared" si="24"/>
        <v>10200</v>
      </c>
      <c r="G116" s="130"/>
      <c r="H116" s="126">
        <f t="shared" si="9"/>
        <v>10200</v>
      </c>
      <c r="I116" s="148"/>
      <c r="J116" s="148"/>
      <c r="K116" s="149">
        <f t="shared" si="22"/>
        <v>0</v>
      </c>
      <c r="L116" s="149"/>
      <c r="M116" s="149"/>
      <c r="N116" s="91"/>
      <c r="O116" s="91"/>
      <c r="P116" s="139"/>
      <c r="Q116" s="92"/>
      <c r="R116" s="92"/>
    </row>
    <row r="117" spans="1:18" ht="75.75" customHeight="1" x14ac:dyDescent="0.25">
      <c r="A117" s="207"/>
      <c r="B117" s="246"/>
      <c r="C117" s="59" t="s">
        <v>141</v>
      </c>
      <c r="D117" s="79"/>
      <c r="E117" s="79"/>
      <c r="F117" s="130">
        <f t="shared" si="24"/>
        <v>0</v>
      </c>
      <c r="G117" s="130"/>
      <c r="H117" s="126">
        <f t="shared" si="9"/>
        <v>0</v>
      </c>
      <c r="I117" s="148">
        <v>10000</v>
      </c>
      <c r="J117" s="148"/>
      <c r="K117" s="149">
        <f t="shared" si="22"/>
        <v>10000</v>
      </c>
      <c r="L117" s="149"/>
      <c r="M117" s="149"/>
      <c r="N117" s="91"/>
      <c r="O117" s="91"/>
      <c r="P117" s="139"/>
      <c r="Q117" s="92"/>
      <c r="R117" s="92"/>
    </row>
    <row r="118" spans="1:18" ht="111" customHeight="1" x14ac:dyDescent="0.25">
      <c r="A118" s="212"/>
      <c r="B118" s="247"/>
      <c r="C118" s="59" t="s">
        <v>186</v>
      </c>
      <c r="D118" s="79">
        <f>645351.57+665600-10000</f>
        <v>1300951.5699999998</v>
      </c>
      <c r="E118" s="79"/>
      <c r="F118" s="130">
        <f t="shared" si="24"/>
        <v>1300951.5699999998</v>
      </c>
      <c r="G118" s="130"/>
      <c r="H118" s="126">
        <f t="shared" si="9"/>
        <v>1300951.5699999998</v>
      </c>
      <c r="I118" s="148"/>
      <c r="J118" s="148"/>
      <c r="K118" s="149">
        <f t="shared" si="22"/>
        <v>0</v>
      </c>
      <c r="L118" s="149"/>
      <c r="M118" s="149"/>
      <c r="N118" s="91"/>
      <c r="O118" s="91"/>
      <c r="P118" s="139">
        <f t="shared" si="23"/>
        <v>0</v>
      </c>
      <c r="Q118" s="92"/>
      <c r="R118" s="92">
        <f t="shared" si="18"/>
        <v>0</v>
      </c>
    </row>
    <row r="119" spans="1:18" ht="63.75" customHeight="1" x14ac:dyDescent="0.25">
      <c r="A119" s="259" t="s">
        <v>167</v>
      </c>
      <c r="B119" s="259"/>
      <c r="C119" s="259"/>
      <c r="D119" s="78">
        <f>D118+D117+D116+D115+D114</f>
        <v>1311151.5699999998</v>
      </c>
      <c r="E119" s="78"/>
      <c r="F119" s="130">
        <f t="shared" si="24"/>
        <v>1311151.5699999998</v>
      </c>
      <c r="G119" s="130"/>
      <c r="H119" s="126">
        <f>F119</f>
        <v>1311151.5699999998</v>
      </c>
      <c r="I119" s="146">
        <f>I118+I117+I116+I115+I114</f>
        <v>10000</v>
      </c>
      <c r="J119" s="146"/>
      <c r="K119" s="149">
        <f t="shared" si="22"/>
        <v>10000</v>
      </c>
      <c r="L119" s="149"/>
      <c r="M119" s="149"/>
      <c r="N119" s="78">
        <f>N118+N117+N116+N115+N114</f>
        <v>949800</v>
      </c>
      <c r="O119" s="78"/>
      <c r="P119" s="139">
        <f>P114+P115+P116+P117+P118</f>
        <v>949800</v>
      </c>
      <c r="Q119" s="139">
        <f t="shared" ref="Q119:R119" si="25">Q114+Q115+Q116+Q117+Q118</f>
        <v>0</v>
      </c>
      <c r="R119" s="139">
        <f t="shared" si="25"/>
        <v>949800</v>
      </c>
    </row>
    <row r="120" spans="1:18" ht="116.25" customHeight="1" x14ac:dyDescent="0.25">
      <c r="A120" s="260">
        <v>5</v>
      </c>
      <c r="B120" s="262" t="s">
        <v>163</v>
      </c>
      <c r="C120" s="86" t="s">
        <v>209</v>
      </c>
      <c r="D120" s="78"/>
      <c r="E120" s="78"/>
      <c r="F120" s="127"/>
      <c r="G120" s="127"/>
      <c r="H120" s="126">
        <f t="shared" si="9"/>
        <v>0</v>
      </c>
      <c r="I120" s="146">
        <v>498200</v>
      </c>
      <c r="J120" s="146">
        <v>2233</v>
      </c>
      <c r="K120" s="147">
        <f t="shared" si="22"/>
        <v>500433</v>
      </c>
      <c r="L120" s="147"/>
      <c r="M120" s="147"/>
      <c r="N120" s="92"/>
      <c r="O120" s="92"/>
      <c r="P120" s="139"/>
      <c r="Q120" s="92"/>
      <c r="R120" s="180"/>
    </row>
    <row r="121" spans="1:18" ht="80.25" customHeight="1" x14ac:dyDescent="0.25">
      <c r="A121" s="261"/>
      <c r="B121" s="263"/>
      <c r="C121" s="86" t="s">
        <v>240</v>
      </c>
      <c r="D121" s="78"/>
      <c r="E121" s="78"/>
      <c r="F121" s="127"/>
      <c r="G121" s="127"/>
      <c r="H121" s="126">
        <f t="shared" si="9"/>
        <v>0</v>
      </c>
      <c r="I121" s="146"/>
      <c r="J121" s="146"/>
      <c r="K121" s="147">
        <f t="shared" si="22"/>
        <v>0</v>
      </c>
      <c r="L121" s="147"/>
      <c r="M121" s="147"/>
      <c r="N121" s="78">
        <v>161000</v>
      </c>
      <c r="O121" s="78"/>
      <c r="P121" s="139">
        <f t="shared" si="23"/>
        <v>161000</v>
      </c>
      <c r="Q121" s="92"/>
      <c r="R121" s="180">
        <f t="shared" ref="R121:R133" si="26">P121+Q121</f>
        <v>161000</v>
      </c>
    </row>
    <row r="122" spans="1:18" ht="153" customHeight="1" x14ac:dyDescent="0.35">
      <c r="A122" s="261"/>
      <c r="B122" s="263"/>
      <c r="C122" s="86" t="s">
        <v>210</v>
      </c>
      <c r="D122" s="78"/>
      <c r="F122" s="127"/>
      <c r="G122" s="127"/>
      <c r="H122" s="126">
        <f t="shared" si="9"/>
        <v>0</v>
      </c>
      <c r="I122" s="146"/>
      <c r="J122" s="146">
        <f>K122</f>
        <v>53160.21</v>
      </c>
      <c r="K122" s="147">
        <v>53160.21</v>
      </c>
      <c r="L122" s="147"/>
      <c r="M122" s="147"/>
      <c r="N122" s="78"/>
      <c r="O122" s="78"/>
      <c r="P122" s="139"/>
      <c r="Q122" s="92"/>
      <c r="R122" s="180"/>
    </row>
    <row r="123" spans="1:18" ht="189" customHeight="1" x14ac:dyDescent="0.35">
      <c r="A123" s="261"/>
      <c r="B123" s="263"/>
      <c r="C123" s="86" t="s">
        <v>211</v>
      </c>
      <c r="E123" s="78">
        <f>12806+11114+57500+2137</f>
        <v>83557</v>
      </c>
      <c r="F123" s="127">
        <f>E123</f>
        <v>83557</v>
      </c>
      <c r="G123" s="127"/>
      <c r="H123" s="126">
        <f t="shared" si="9"/>
        <v>83557</v>
      </c>
      <c r="I123" s="146"/>
      <c r="J123" s="146"/>
      <c r="K123" s="147"/>
      <c r="L123" s="147"/>
      <c r="M123" s="147"/>
      <c r="N123" s="78"/>
      <c r="O123" s="78"/>
      <c r="P123" s="139"/>
      <c r="Q123" s="92"/>
      <c r="R123" s="180"/>
    </row>
    <row r="124" spans="1:18" ht="109.2" x14ac:dyDescent="0.25">
      <c r="A124" s="261"/>
      <c r="B124" s="263"/>
      <c r="C124" s="86" t="s">
        <v>247</v>
      </c>
      <c r="D124" s="78"/>
      <c r="E124" s="78">
        <f>F124</f>
        <v>760285.32</v>
      </c>
      <c r="F124" s="154">
        <v>760285.32</v>
      </c>
      <c r="G124" s="154"/>
      <c r="H124" s="126">
        <f t="shared" si="9"/>
        <v>760285.32</v>
      </c>
      <c r="I124" s="146"/>
      <c r="J124" s="146"/>
      <c r="K124" s="147"/>
      <c r="L124" s="147"/>
      <c r="M124" s="147"/>
      <c r="N124" s="78"/>
      <c r="O124" s="78"/>
      <c r="P124" s="139"/>
      <c r="Q124" s="92"/>
      <c r="R124" s="180"/>
    </row>
    <row r="125" spans="1:18" ht="31.2" x14ac:dyDescent="0.25">
      <c r="A125" s="261"/>
      <c r="B125" s="263"/>
      <c r="C125" s="86" t="s">
        <v>213</v>
      </c>
      <c r="D125" s="78"/>
      <c r="E125" s="92">
        <v>84700</v>
      </c>
      <c r="F125" s="131">
        <f>E125</f>
        <v>84700</v>
      </c>
      <c r="G125" s="131"/>
      <c r="H125" s="126">
        <f t="shared" si="9"/>
        <v>84700</v>
      </c>
      <c r="I125" s="146"/>
      <c r="J125" s="146"/>
      <c r="K125" s="147"/>
      <c r="L125" s="147"/>
      <c r="M125" s="147"/>
      <c r="N125" s="78"/>
      <c r="O125" s="78"/>
      <c r="P125" s="139"/>
      <c r="Q125" s="92"/>
      <c r="R125" s="180"/>
    </row>
    <row r="126" spans="1:18" ht="109.2" x14ac:dyDescent="0.25">
      <c r="A126" s="261"/>
      <c r="B126" s="263"/>
      <c r="C126" s="86" t="s">
        <v>216</v>
      </c>
      <c r="D126" s="78"/>
      <c r="E126" s="78">
        <f>F126</f>
        <v>172838.68</v>
      </c>
      <c r="F126" s="155">
        <v>172838.68</v>
      </c>
      <c r="G126" s="155"/>
      <c r="H126" s="126">
        <f t="shared" si="9"/>
        <v>172838.68</v>
      </c>
      <c r="I126" s="146"/>
      <c r="J126" s="146"/>
      <c r="K126" s="147"/>
      <c r="L126" s="147"/>
      <c r="M126" s="147"/>
      <c r="N126" s="78"/>
      <c r="O126" s="78"/>
      <c r="P126" s="139"/>
      <c r="Q126" s="92"/>
      <c r="R126" s="180"/>
    </row>
    <row r="127" spans="1:18" ht="140.4" x14ac:dyDescent="0.25">
      <c r="A127" s="261"/>
      <c r="B127" s="263"/>
      <c r="C127" s="86" t="s">
        <v>248</v>
      </c>
      <c r="D127" s="78"/>
      <c r="E127" s="78">
        <v>15442</v>
      </c>
      <c r="F127" s="154">
        <f>E127</f>
        <v>15442</v>
      </c>
      <c r="G127" s="154"/>
      <c r="H127" s="126">
        <f t="shared" si="9"/>
        <v>15442</v>
      </c>
      <c r="I127" s="146"/>
      <c r="J127" s="146"/>
      <c r="K127" s="147"/>
      <c r="L127" s="147"/>
      <c r="M127" s="147"/>
      <c r="N127" s="78"/>
      <c r="O127" s="78"/>
      <c r="P127" s="139"/>
      <c r="Q127" s="92"/>
      <c r="R127" s="180"/>
    </row>
    <row r="128" spans="1:18" ht="109.2" x14ac:dyDescent="0.25">
      <c r="A128" s="261"/>
      <c r="B128" s="263"/>
      <c r="C128" s="86" t="s">
        <v>288</v>
      </c>
      <c r="D128" s="78"/>
      <c r="E128" s="78"/>
      <c r="F128" s="131"/>
      <c r="G128" s="131"/>
      <c r="H128" s="126">
        <f t="shared" si="9"/>
        <v>0</v>
      </c>
      <c r="I128" s="146"/>
      <c r="J128" s="146">
        <v>46300</v>
      </c>
      <c r="K128" s="147">
        <f>J128</f>
        <v>46300</v>
      </c>
      <c r="L128" s="147"/>
      <c r="M128" s="147"/>
      <c r="N128" s="78"/>
      <c r="O128" s="78"/>
      <c r="P128" s="139"/>
      <c r="Q128" s="92"/>
      <c r="R128" s="180"/>
    </row>
    <row r="129" spans="1:18" ht="93.6" x14ac:dyDescent="0.25">
      <c r="A129" s="158"/>
      <c r="B129" s="157"/>
      <c r="C129" s="86" t="s">
        <v>241</v>
      </c>
      <c r="D129" s="78">
        <v>138700</v>
      </c>
      <c r="E129" s="78"/>
      <c r="F129" s="131"/>
      <c r="G129" s="131"/>
      <c r="H129" s="126">
        <f t="shared" si="9"/>
        <v>0</v>
      </c>
      <c r="I129" s="146"/>
      <c r="J129" s="146"/>
      <c r="K129" s="147"/>
      <c r="L129" s="147"/>
      <c r="M129" s="147"/>
      <c r="N129" s="78"/>
      <c r="O129" s="78"/>
      <c r="P129" s="139"/>
      <c r="Q129" s="92"/>
      <c r="R129" s="180"/>
    </row>
    <row r="130" spans="1:18" ht="63.75" customHeight="1" x14ac:dyDescent="0.25">
      <c r="A130" s="241" t="s">
        <v>170</v>
      </c>
      <c r="B130" s="242"/>
      <c r="C130" s="243"/>
      <c r="D130" s="78">
        <f>SUM(D120:D129)</f>
        <v>138700</v>
      </c>
      <c r="E130" s="78">
        <f>SUM(E120:E128)</f>
        <v>1116823</v>
      </c>
      <c r="F130" s="78">
        <f>F127+F126+F125+F123+F124</f>
        <v>1116823</v>
      </c>
      <c r="G130" s="78"/>
      <c r="H130" s="126">
        <f>F130</f>
        <v>1116823</v>
      </c>
      <c r="I130" s="78">
        <f t="shared" ref="I130:Q130" si="27">SUM(I120:I128)</f>
        <v>498200</v>
      </c>
      <c r="J130" s="78">
        <f t="shared" si="27"/>
        <v>101693.20999999999</v>
      </c>
      <c r="K130" s="78">
        <f t="shared" si="27"/>
        <v>599893.21</v>
      </c>
      <c r="L130" s="78"/>
      <c r="M130" s="78"/>
      <c r="N130" s="78">
        <f t="shared" si="27"/>
        <v>161000</v>
      </c>
      <c r="O130" s="78">
        <f t="shared" si="27"/>
        <v>0</v>
      </c>
      <c r="P130" s="78">
        <f t="shared" si="27"/>
        <v>161000</v>
      </c>
      <c r="Q130" s="78">
        <f t="shared" si="27"/>
        <v>0</v>
      </c>
      <c r="R130" s="180">
        <f t="shared" si="26"/>
        <v>161000</v>
      </c>
    </row>
    <row r="131" spans="1:18" ht="139.5" customHeight="1" x14ac:dyDescent="0.25">
      <c r="A131" s="209" t="s">
        <v>140</v>
      </c>
      <c r="B131" s="244" t="s">
        <v>33</v>
      </c>
      <c r="C131" s="84" t="s">
        <v>290</v>
      </c>
      <c r="D131" s="90">
        <f>1057836.91+169800</f>
        <v>1227636.9099999999</v>
      </c>
      <c r="E131" s="90">
        <f>F131-D131</f>
        <v>1541828.68</v>
      </c>
      <c r="F131" s="132">
        <v>2769465.59</v>
      </c>
      <c r="G131" s="132">
        <f>-373364</f>
        <v>-373364</v>
      </c>
      <c r="H131" s="126">
        <f>F131+G131</f>
        <v>2396101.59</v>
      </c>
      <c r="I131" s="144"/>
      <c r="J131" s="144"/>
      <c r="K131" s="145"/>
      <c r="L131" s="145"/>
      <c r="M131" s="145"/>
      <c r="N131" s="91"/>
      <c r="O131" s="91"/>
      <c r="P131" s="139"/>
      <c r="Q131" s="92"/>
      <c r="R131" s="180"/>
    </row>
    <row r="132" spans="1:18" ht="81" customHeight="1" x14ac:dyDescent="0.25">
      <c r="A132" s="207"/>
      <c r="B132" s="245"/>
      <c r="C132" s="89" t="s">
        <v>178</v>
      </c>
      <c r="D132" s="90">
        <f>79900+1000000</f>
        <v>1079900</v>
      </c>
      <c r="E132" s="90"/>
      <c r="F132" s="132">
        <f t="shared" ref="F132" si="28">D132+E132</f>
        <v>1079900</v>
      </c>
      <c r="G132" s="132"/>
      <c r="H132" s="126">
        <f t="shared" si="9"/>
        <v>1079900</v>
      </c>
      <c r="I132" s="144"/>
      <c r="J132" s="144"/>
      <c r="K132" s="145"/>
      <c r="L132" s="145"/>
      <c r="M132" s="145"/>
      <c r="N132" s="91"/>
      <c r="O132" s="91"/>
      <c r="P132" s="139"/>
      <c r="Q132" s="92"/>
      <c r="R132" s="180"/>
    </row>
    <row r="133" spans="1:18" ht="213" customHeight="1" x14ac:dyDescent="0.25">
      <c r="A133" s="207"/>
      <c r="B133" s="246"/>
      <c r="C133" s="84" t="s">
        <v>297</v>
      </c>
      <c r="D133" s="90"/>
      <c r="E133" s="90"/>
      <c r="F133" s="132"/>
      <c r="G133" s="132"/>
      <c r="H133" s="126">
        <f t="shared" si="9"/>
        <v>0</v>
      </c>
      <c r="I133" s="144"/>
      <c r="J133" s="144"/>
      <c r="K133" s="145"/>
      <c r="L133" s="145"/>
      <c r="M133" s="145"/>
      <c r="N133" s="91">
        <v>518300</v>
      </c>
      <c r="O133" s="91"/>
      <c r="P133" s="139">
        <f t="shared" si="23"/>
        <v>518300</v>
      </c>
      <c r="Q133" s="180">
        <v>3600</v>
      </c>
      <c r="R133" s="180">
        <f t="shared" si="26"/>
        <v>521900</v>
      </c>
    </row>
    <row r="134" spans="1:18" ht="204.75" customHeight="1" x14ac:dyDescent="0.25">
      <c r="A134" s="212"/>
      <c r="B134" s="247"/>
      <c r="C134" s="84" t="s">
        <v>212</v>
      </c>
      <c r="D134" s="90"/>
      <c r="E134" s="90"/>
      <c r="F134" s="132"/>
      <c r="G134" s="132"/>
      <c r="H134" s="126">
        <f t="shared" si="9"/>
        <v>0</v>
      </c>
      <c r="I134" s="144">
        <v>0</v>
      </c>
      <c r="J134" s="144">
        <v>90000</v>
      </c>
      <c r="K134" s="145">
        <v>90000</v>
      </c>
      <c r="L134" s="147">
        <f>373364</f>
        <v>373364</v>
      </c>
      <c r="M134" s="145">
        <f>K134+L134</f>
        <v>463364</v>
      </c>
      <c r="N134" s="91">
        <v>90000</v>
      </c>
      <c r="O134" s="91">
        <v>-90000</v>
      </c>
      <c r="P134" s="139"/>
      <c r="Q134" s="92"/>
      <c r="R134" s="180"/>
    </row>
    <row r="135" spans="1:18" ht="120" customHeight="1" x14ac:dyDescent="0.25">
      <c r="A135" s="119"/>
      <c r="B135" s="118"/>
      <c r="C135" s="84" t="s">
        <v>217</v>
      </c>
      <c r="D135" s="90"/>
      <c r="E135" s="90">
        <v>3661</v>
      </c>
      <c r="F135" s="132">
        <f>E135</f>
        <v>3661</v>
      </c>
      <c r="G135" s="132"/>
      <c r="H135" s="126">
        <f t="shared" si="9"/>
        <v>3661</v>
      </c>
      <c r="I135" s="144"/>
      <c r="J135" s="144"/>
      <c r="K135" s="145"/>
      <c r="L135" s="145"/>
      <c r="M135" s="145"/>
      <c r="N135" s="91"/>
      <c r="O135" s="91"/>
      <c r="P135" s="139"/>
      <c r="Q135" s="92"/>
      <c r="R135" s="92"/>
    </row>
    <row r="136" spans="1:18" ht="112.5" customHeight="1" x14ac:dyDescent="0.25">
      <c r="A136" s="119"/>
      <c r="B136" s="118"/>
      <c r="C136" s="84" t="s">
        <v>219</v>
      </c>
      <c r="D136" s="90"/>
      <c r="E136" s="90">
        <v>13942</v>
      </c>
      <c r="F136" s="132">
        <f>E136</f>
        <v>13942</v>
      </c>
      <c r="G136" s="132"/>
      <c r="H136" s="126">
        <f t="shared" si="9"/>
        <v>13942</v>
      </c>
      <c r="I136" s="144"/>
      <c r="J136" s="144"/>
      <c r="K136" s="145"/>
      <c r="L136" s="145"/>
      <c r="M136" s="145"/>
      <c r="N136" s="91"/>
      <c r="O136" s="91"/>
      <c r="P136" s="139"/>
      <c r="Q136" s="92"/>
      <c r="R136" s="92"/>
    </row>
    <row r="137" spans="1:18" ht="93.6" x14ac:dyDescent="0.25">
      <c r="A137" s="119"/>
      <c r="B137" s="118"/>
      <c r="C137" s="84" t="s">
        <v>242</v>
      </c>
      <c r="D137" s="90"/>
      <c r="E137" s="90">
        <v>7859</v>
      </c>
      <c r="F137" s="132">
        <f>E137</f>
        <v>7859</v>
      </c>
      <c r="G137" s="132"/>
      <c r="H137" s="126">
        <f t="shared" si="9"/>
        <v>7859</v>
      </c>
      <c r="I137" s="144"/>
      <c r="J137" s="144"/>
      <c r="K137" s="145"/>
      <c r="L137" s="145"/>
      <c r="M137" s="145"/>
      <c r="N137" s="91"/>
      <c r="O137" s="91"/>
      <c r="P137" s="139"/>
      <c r="Q137" s="92"/>
      <c r="R137" s="92"/>
    </row>
    <row r="138" spans="1:18" ht="140.4" x14ac:dyDescent="0.25">
      <c r="A138" s="119"/>
      <c r="B138" s="118"/>
      <c r="C138" s="84" t="s">
        <v>243</v>
      </c>
      <c r="D138" s="90"/>
      <c r="E138" s="90">
        <v>567193.11</v>
      </c>
      <c r="F138" s="132">
        <f>E138</f>
        <v>567193.11</v>
      </c>
      <c r="G138" s="132"/>
      <c r="H138" s="126">
        <f t="shared" si="9"/>
        <v>567193.11</v>
      </c>
      <c r="I138" s="144"/>
      <c r="J138" s="144"/>
      <c r="K138" s="145"/>
      <c r="L138" s="145"/>
      <c r="M138" s="145"/>
      <c r="N138" s="91"/>
      <c r="O138" s="91"/>
      <c r="P138" s="139"/>
      <c r="Q138" s="180"/>
      <c r="R138" s="180"/>
    </row>
    <row r="139" spans="1:18" ht="45" customHeight="1" x14ac:dyDescent="0.25">
      <c r="A139" s="248" t="s">
        <v>168</v>
      </c>
      <c r="B139" s="248"/>
      <c r="C139" s="248"/>
      <c r="D139" s="79">
        <f>D131+D134+D133+D132</f>
        <v>2307536.91</v>
      </c>
      <c r="E139" s="79"/>
      <c r="F139" s="132">
        <f>F138+F137+F136+F135+F132+F131+F133+F134</f>
        <v>4442020.6999999993</v>
      </c>
      <c r="G139" s="132">
        <f>G138+G137+G136+G135+G132+G131+G133+G134</f>
        <v>-373364</v>
      </c>
      <c r="H139" s="132">
        <f t="shared" ref="H139" si="29">H138+H137+H136+H135+H132+H131+H133+H134</f>
        <v>4068656.6999999997</v>
      </c>
      <c r="I139" s="132">
        <f t="shared" ref="I139" si="30">I138+I137+I136+I135+I132+I131+I133+I134</f>
        <v>0</v>
      </c>
      <c r="J139" s="132">
        <f t="shared" ref="J139" si="31">J138+J137+J136+J135+J132+J131+J133+J134</f>
        <v>90000</v>
      </c>
      <c r="K139" s="132">
        <f t="shared" ref="K139" si="32">K138+K137+K136+K135+K132+K131+K133+K134</f>
        <v>90000</v>
      </c>
      <c r="L139" s="132">
        <f t="shared" ref="L139" si="33">L138+L137+L136+L135+L132+L131+L133+L134</f>
        <v>373364</v>
      </c>
      <c r="M139" s="132">
        <f t="shared" ref="M139" si="34">M138+M137+M136+M135+M132+M131+M133+M134</f>
        <v>463364</v>
      </c>
      <c r="N139" s="79">
        <f>N131+N134+N133+N132</f>
        <v>608300</v>
      </c>
      <c r="O139" s="79"/>
      <c r="P139" s="139">
        <f>SUM(P131:P138)</f>
        <v>518300</v>
      </c>
      <c r="Q139" s="139">
        <f t="shared" ref="Q139" si="35">SUM(Q131:Q138)</f>
        <v>3600</v>
      </c>
      <c r="R139" s="139">
        <f>SUM(R131:R138)</f>
        <v>521900</v>
      </c>
    </row>
    <row r="140" spans="1:18" s="75" customFormat="1" ht="86.25" customHeight="1" x14ac:dyDescent="0.3">
      <c r="A140" s="93">
        <v>7</v>
      </c>
      <c r="B140" s="264" t="s">
        <v>110</v>
      </c>
      <c r="C140" s="82" t="s">
        <v>238</v>
      </c>
      <c r="D140" s="44">
        <v>1088500</v>
      </c>
      <c r="E140" s="44">
        <f>F140-D140</f>
        <v>482900</v>
      </c>
      <c r="F140" s="132">
        <v>1571400</v>
      </c>
      <c r="G140" s="132"/>
      <c r="H140" s="126">
        <f t="shared" si="9"/>
        <v>1571400</v>
      </c>
      <c r="I140" s="151"/>
      <c r="J140" s="151"/>
      <c r="K140" s="151"/>
      <c r="L140" s="151"/>
      <c r="M140" s="151"/>
      <c r="N140" s="74"/>
      <c r="O140" s="74"/>
      <c r="P140" s="139">
        <f t="shared" si="23"/>
        <v>0</v>
      </c>
      <c r="Q140" s="177"/>
      <c r="R140" s="177"/>
    </row>
    <row r="141" spans="1:18" s="75" customFormat="1" ht="111" customHeight="1" x14ac:dyDescent="0.3">
      <c r="A141" s="93"/>
      <c r="B141" s="265"/>
      <c r="C141" s="82" t="s">
        <v>260</v>
      </c>
      <c r="D141" s="44"/>
      <c r="E141" s="44"/>
      <c r="F141" s="132"/>
      <c r="G141" s="132"/>
      <c r="H141" s="126"/>
      <c r="I141" s="151"/>
      <c r="J141" s="151"/>
      <c r="K141" s="151"/>
      <c r="L141" s="151"/>
      <c r="M141" s="151"/>
      <c r="N141" s="74"/>
      <c r="O141" s="74"/>
      <c r="P141" s="139">
        <v>0</v>
      </c>
      <c r="Q141" s="179">
        <v>1348300</v>
      </c>
      <c r="R141" s="179">
        <f>P141+Q141</f>
        <v>1348300</v>
      </c>
    </row>
    <row r="142" spans="1:18" ht="18" x14ac:dyDescent="0.35">
      <c r="A142" s="258" t="s">
        <v>83</v>
      </c>
      <c r="B142" s="258"/>
      <c r="C142" s="258"/>
      <c r="D142" s="85">
        <f>D139+D105+D94+D119+D113+D140+D130</f>
        <v>93623119.280000001</v>
      </c>
      <c r="E142" s="85"/>
      <c r="F142" s="85">
        <f>F139+F105+F94+F119+F113+F140+F130</f>
        <v>97656021.459999993</v>
      </c>
      <c r="G142" s="85">
        <f>G139+G105+G94+G119+G113+G140+G130+G141</f>
        <v>66218725.659999989</v>
      </c>
      <c r="H142" s="85">
        <f t="shared" ref="H142" si="36">H139+H105+H94+H119+H113+H140+H130</f>
        <v>163874747.11999997</v>
      </c>
      <c r="I142" s="152">
        <f>I139+I105+I94+I119+I113+I140+I130</f>
        <v>3955980.72</v>
      </c>
      <c r="J142" s="152"/>
      <c r="K142" s="153">
        <f>K139+K105+K94+K119+K113+K140+K130</f>
        <v>4289978.54</v>
      </c>
      <c r="L142" s="153">
        <f t="shared" ref="L142:M142" si="37">L139+L105+L94+L119+L113+L140+L130</f>
        <v>723364</v>
      </c>
      <c r="M142" s="153">
        <f t="shared" si="37"/>
        <v>3793480.81</v>
      </c>
      <c r="N142" s="85">
        <f>N139+N105+N94+N119+N113+N140+N130</f>
        <v>3784700</v>
      </c>
      <c r="O142" s="85">
        <f t="shared" ref="O142" si="38">O139+O105+O94+O119+O113+O140+O130</f>
        <v>-46776.580000000016</v>
      </c>
      <c r="P142" s="85">
        <f>P139+P105+P94+P119+P113+P140+P130+P141</f>
        <v>3694700</v>
      </c>
      <c r="Q142" s="85">
        <f t="shared" ref="Q142" si="39">Q139+Q105+Q94+Q119+Q113+Q140+Q130+Q141</f>
        <v>60087263.239999995</v>
      </c>
      <c r="R142" s="85">
        <f>R139+R105+R94+R119+R113+R140+R130+R141</f>
        <v>63781963.239999995</v>
      </c>
    </row>
    <row r="143" spans="1:18" ht="18" x14ac:dyDescent="0.35"/>
    <row r="144" spans="1:18" ht="18" x14ac:dyDescent="0.35"/>
  </sheetData>
  <mergeCells count="28">
    <mergeCell ref="A142:C142"/>
    <mergeCell ref="A113:C113"/>
    <mergeCell ref="A114:A118"/>
    <mergeCell ref="B114:B118"/>
    <mergeCell ref="A119:C119"/>
    <mergeCell ref="A120:A128"/>
    <mergeCell ref="B120:B128"/>
    <mergeCell ref="B140:B141"/>
    <mergeCell ref="O46:O47"/>
    <mergeCell ref="A130:C130"/>
    <mergeCell ref="A131:A134"/>
    <mergeCell ref="B131:B134"/>
    <mergeCell ref="A139:C139"/>
    <mergeCell ref="A106:A109"/>
    <mergeCell ref="B106:B109"/>
    <mergeCell ref="A5:A56"/>
    <mergeCell ref="B5:B56"/>
    <mergeCell ref="A94:C94"/>
    <mergeCell ref="B95:B104"/>
    <mergeCell ref="A105:C105"/>
    <mergeCell ref="N46:N47"/>
    <mergeCell ref="A2:N2"/>
    <mergeCell ref="A3:A4"/>
    <mergeCell ref="B3:B4"/>
    <mergeCell ref="C3:C4"/>
    <mergeCell ref="D3:D4"/>
    <mergeCell ref="I3:I4"/>
    <mergeCell ref="N3:N4"/>
  </mergeCells>
  <phoneticPr fontId="15" type="noConversion"/>
  <pageMargins left="0.31496062992125984" right="0.31496062992125984" top="0.35433070866141736" bottom="0.35433070866141736" header="0.31496062992125984" footer="0.31496062992125984"/>
  <pageSetup paperSize="9" scale="62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>
      <selection activeCell="H11" sqref="H11"/>
    </sheetView>
  </sheetViews>
  <sheetFormatPr defaultColWidth="9.21875" defaultRowHeight="18" x14ac:dyDescent="0.35"/>
  <cols>
    <col min="1" max="1" width="46.21875" style="102" customWidth="1"/>
    <col min="2" max="2" width="74.77734375" style="102" customWidth="1"/>
    <col min="3" max="3" width="17.44140625" style="7" customWidth="1"/>
    <col min="4" max="7" width="9.21875" style="102"/>
    <col min="8" max="8" width="13" style="102" bestFit="1" customWidth="1"/>
    <col min="9" max="16384" width="9.21875" style="102"/>
  </cols>
  <sheetData>
    <row r="1" spans="1:9" x14ac:dyDescent="0.35">
      <c r="C1" s="7" t="s">
        <v>190</v>
      </c>
    </row>
    <row r="2" spans="1:9" ht="28.2" x14ac:dyDescent="0.5">
      <c r="B2" s="103" t="s">
        <v>197</v>
      </c>
      <c r="H2" s="7"/>
      <c r="I2" s="7"/>
    </row>
    <row r="3" spans="1:9" x14ac:dyDescent="0.35">
      <c r="A3" s="116" t="s">
        <v>195</v>
      </c>
      <c r="B3" s="104" t="s">
        <v>192</v>
      </c>
      <c r="C3" s="105" t="s">
        <v>189</v>
      </c>
      <c r="H3" s="7"/>
      <c r="I3" s="7"/>
    </row>
    <row r="4" spans="1:9" ht="33" customHeight="1" x14ac:dyDescent="0.35">
      <c r="A4" s="266" t="s">
        <v>198</v>
      </c>
      <c r="B4" s="109" t="s">
        <v>191</v>
      </c>
      <c r="C4" s="105">
        <v>717363.54</v>
      </c>
      <c r="H4" s="7">
        <v>12806</v>
      </c>
      <c r="I4" s="7"/>
    </row>
    <row r="5" spans="1:9" ht="33" customHeight="1" x14ac:dyDescent="0.35">
      <c r="A5" s="267"/>
      <c r="B5" s="110" t="s">
        <v>188</v>
      </c>
      <c r="C5" s="105">
        <f>54700+30000</f>
        <v>84700</v>
      </c>
      <c r="H5" s="7">
        <v>11414</v>
      </c>
      <c r="I5" s="7"/>
    </row>
    <row r="6" spans="1:9" s="114" customFormat="1" ht="17.25" customHeight="1" x14ac:dyDescent="0.3">
      <c r="A6" s="111" t="s">
        <v>194</v>
      </c>
      <c r="B6" s="112" t="s">
        <v>198</v>
      </c>
      <c r="C6" s="113">
        <f>SUM(C4:C5)</f>
        <v>802063.54</v>
      </c>
      <c r="H6" s="117">
        <v>2233</v>
      </c>
      <c r="I6" s="117"/>
    </row>
    <row r="7" spans="1:9" ht="27.75" customHeight="1" x14ac:dyDescent="0.35">
      <c r="A7" s="266" t="s">
        <v>199</v>
      </c>
      <c r="B7" s="107" t="s">
        <v>193</v>
      </c>
      <c r="C7" s="105">
        <f>45000*4</f>
        <v>180000</v>
      </c>
      <c r="H7" s="7">
        <v>2137</v>
      </c>
      <c r="I7" s="7"/>
    </row>
    <row r="8" spans="1:9" x14ac:dyDescent="0.35">
      <c r="A8" s="268"/>
      <c r="B8" s="106" t="s">
        <v>187</v>
      </c>
      <c r="C8" s="105">
        <v>137192.5</v>
      </c>
      <c r="H8" s="7">
        <v>18880</v>
      </c>
      <c r="I8" s="7"/>
    </row>
    <row r="9" spans="1:9" s="114" customFormat="1" ht="17.25" customHeight="1" x14ac:dyDescent="0.3">
      <c r="A9" s="111" t="s">
        <v>194</v>
      </c>
      <c r="B9" s="112" t="s">
        <v>199</v>
      </c>
      <c r="C9" s="113">
        <f>SUM(C7:C8)</f>
        <v>317192.5</v>
      </c>
      <c r="H9" s="117">
        <v>57500</v>
      </c>
      <c r="I9" s="117"/>
    </row>
    <row r="10" spans="1:9" x14ac:dyDescent="0.35">
      <c r="A10" s="108"/>
      <c r="B10" s="115" t="s">
        <v>196</v>
      </c>
      <c r="C10" s="113">
        <f>C9+C6</f>
        <v>1119256.04</v>
      </c>
      <c r="H10" s="7">
        <v>34280.21</v>
      </c>
    </row>
    <row r="11" spans="1:9" x14ac:dyDescent="0.4">
      <c r="H11" s="7">
        <f>SUM(H4:H10)</f>
        <v>139250.21</v>
      </c>
    </row>
    <row r="12" spans="1:9" x14ac:dyDescent="0.4">
      <c r="H12" s="7">
        <v>138700</v>
      </c>
    </row>
    <row r="13" spans="1:9" x14ac:dyDescent="0.4">
      <c r="H13" s="7">
        <f>H12-H11</f>
        <v>-550.20999999999185</v>
      </c>
    </row>
  </sheetData>
  <mergeCells count="2">
    <mergeCell ref="A4:A5"/>
    <mergeCell ref="A7:A8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9"/>
  <sheetViews>
    <sheetView workbookViewId="0">
      <selection activeCell="A14" sqref="A14"/>
    </sheetView>
  </sheetViews>
  <sheetFormatPr defaultRowHeight="14.4" x14ac:dyDescent="0.3"/>
  <cols>
    <col min="1" max="1" width="43.5546875" customWidth="1"/>
    <col min="2" max="2" width="21.21875" customWidth="1"/>
    <col min="3" max="3" width="20" customWidth="1"/>
    <col min="4" max="4" width="17.77734375" customWidth="1"/>
  </cols>
  <sheetData>
    <row r="3" spans="1:4" ht="89.25" customHeight="1" x14ac:dyDescent="0.3">
      <c r="A3" s="22" t="s">
        <v>6</v>
      </c>
      <c r="B3" s="22" t="s">
        <v>65</v>
      </c>
      <c r="C3" s="20" t="s">
        <v>61</v>
      </c>
      <c r="D3" s="20" t="s">
        <v>64</v>
      </c>
    </row>
    <row r="4" spans="1:4" ht="78" x14ac:dyDescent="0.3">
      <c r="A4" s="21" t="s">
        <v>51</v>
      </c>
      <c r="B4" s="16">
        <v>0</v>
      </c>
      <c r="C4" s="16">
        <v>198900</v>
      </c>
      <c r="D4" s="16">
        <f>B4+C4</f>
        <v>198900</v>
      </c>
    </row>
    <row r="5" spans="1:4" ht="31.2" x14ac:dyDescent="0.3">
      <c r="A5" s="21" t="s">
        <v>22</v>
      </c>
      <c r="B5" s="16">
        <v>105000</v>
      </c>
      <c r="C5" s="16">
        <v>6187.47</v>
      </c>
      <c r="D5" s="16">
        <f>B5+C5</f>
        <v>111187.47</v>
      </c>
    </row>
    <row r="6" spans="1:4" ht="46.8" x14ac:dyDescent="0.3">
      <c r="A6" s="21" t="s">
        <v>24</v>
      </c>
      <c r="B6" s="16">
        <v>66000</v>
      </c>
      <c r="C6" s="16">
        <v>288339.32</v>
      </c>
      <c r="D6" s="16">
        <f>B6+C6</f>
        <v>354339.32</v>
      </c>
    </row>
    <row r="7" spans="1:4" ht="62.4" x14ac:dyDescent="0.3">
      <c r="A7" s="21" t="s">
        <v>62</v>
      </c>
      <c r="B7" s="16">
        <v>0</v>
      </c>
      <c r="C7" s="16">
        <v>245300</v>
      </c>
      <c r="D7" s="16">
        <f>B7+C7</f>
        <v>245300</v>
      </c>
    </row>
    <row r="8" spans="1:4" ht="34.5" customHeight="1" x14ac:dyDescent="0.3">
      <c r="A8" s="21" t="s">
        <v>28</v>
      </c>
      <c r="B8" s="16">
        <v>4241950.8499999996</v>
      </c>
      <c r="C8" s="16">
        <v>-738726.79</v>
      </c>
      <c r="D8" s="22" t="s">
        <v>63</v>
      </c>
    </row>
    <row r="9" spans="1:4" ht="15.6" x14ac:dyDescent="0.3">
      <c r="A9" s="21" t="s">
        <v>66</v>
      </c>
      <c r="B9" s="23"/>
      <c r="C9" s="24">
        <f>SUM(C4:C8)</f>
        <v>0</v>
      </c>
      <c r="D9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opLeftCell="A44" workbookViewId="0">
      <selection activeCell="D53" sqref="D53"/>
    </sheetView>
  </sheetViews>
  <sheetFormatPr defaultColWidth="9.21875" defaultRowHeight="14.4" x14ac:dyDescent="0.3"/>
  <cols>
    <col min="1" max="1" width="5.77734375" style="5" customWidth="1"/>
    <col min="2" max="2" width="16.44140625" style="5" customWidth="1"/>
    <col min="3" max="3" width="46.5546875" style="5" customWidth="1"/>
    <col min="4" max="4" width="15" style="5" customWidth="1"/>
    <col min="5" max="5" width="15" style="28" customWidth="1"/>
    <col min="6" max="6" width="15" style="27" customWidth="1"/>
    <col min="7" max="7" width="15.77734375" style="28" customWidth="1"/>
    <col min="8" max="8" width="19.77734375" style="28" customWidth="1"/>
    <col min="9" max="9" width="16.21875" style="28" customWidth="1"/>
    <col min="10" max="10" width="13.21875" style="28" bestFit="1" customWidth="1"/>
    <col min="11" max="16384" width="9.21875" style="5"/>
  </cols>
  <sheetData>
    <row r="1" spans="1:10" ht="18.75" hidden="1" customHeight="1" x14ac:dyDescent="0.4">
      <c r="D1" s="314" t="s">
        <v>0</v>
      </c>
      <c r="E1" s="314"/>
      <c r="F1" s="314"/>
      <c r="G1" s="314"/>
      <c r="H1" s="314"/>
    </row>
    <row r="2" spans="1:10" ht="15" hidden="1" customHeight="1" x14ac:dyDescent="0.4">
      <c r="D2" s="314" t="s">
        <v>1</v>
      </c>
      <c r="E2" s="314"/>
      <c r="F2" s="314"/>
      <c r="G2" s="314"/>
      <c r="H2" s="314"/>
    </row>
    <row r="3" spans="1:10" ht="15" hidden="1" customHeight="1" x14ac:dyDescent="0.4">
      <c r="D3" s="314" t="s">
        <v>2</v>
      </c>
      <c r="E3" s="314"/>
      <c r="F3" s="314"/>
      <c r="G3" s="314"/>
      <c r="H3" s="314"/>
    </row>
    <row r="4" spans="1:10" ht="15" hidden="1" customHeight="1" x14ac:dyDescent="0.4">
      <c r="D4" s="314" t="s">
        <v>3</v>
      </c>
      <c r="E4" s="314"/>
      <c r="F4" s="314"/>
      <c r="G4" s="314"/>
      <c r="H4" s="314"/>
    </row>
    <row r="5" spans="1:10" ht="22.5" hidden="1" customHeight="1" x14ac:dyDescent="0.4">
      <c r="D5" s="314" t="s">
        <v>37</v>
      </c>
      <c r="E5" s="314"/>
      <c r="F5" s="314"/>
      <c r="G5" s="314"/>
      <c r="H5" s="314"/>
    </row>
    <row r="6" spans="1:10" ht="18.75" hidden="1" customHeight="1" x14ac:dyDescent="0.4">
      <c r="A6" s="6"/>
    </row>
    <row r="7" spans="1:10" ht="18.75" hidden="1" customHeight="1" x14ac:dyDescent="0.4">
      <c r="A7" s="7"/>
    </row>
    <row r="8" spans="1:10" ht="78.75" customHeight="1" x14ac:dyDescent="0.35">
      <c r="A8" s="296" t="s">
        <v>38</v>
      </c>
      <c r="B8" s="296"/>
      <c r="C8" s="296"/>
      <c r="D8" s="296"/>
      <c r="E8" s="296"/>
      <c r="F8" s="296"/>
      <c r="G8" s="296"/>
      <c r="H8" s="296"/>
    </row>
    <row r="9" spans="1:10" ht="18" x14ac:dyDescent="0.4">
      <c r="A9" s="297"/>
      <c r="B9" s="297"/>
      <c r="C9" s="297"/>
      <c r="D9" s="297"/>
      <c r="E9" s="297"/>
      <c r="F9" s="297"/>
      <c r="G9" s="297"/>
      <c r="H9" s="297"/>
    </row>
    <row r="10" spans="1:10" ht="32.25" customHeight="1" x14ac:dyDescent="0.3">
      <c r="A10" s="300" t="s">
        <v>4</v>
      </c>
      <c r="B10" s="301" t="s">
        <v>5</v>
      </c>
      <c r="C10" s="303" t="s">
        <v>6</v>
      </c>
      <c r="D10" s="305" t="s">
        <v>77</v>
      </c>
      <c r="E10" s="305"/>
      <c r="F10" s="29"/>
      <c r="G10" s="306" t="s">
        <v>78</v>
      </c>
      <c r="H10" s="298" t="s">
        <v>79</v>
      </c>
      <c r="I10" s="299"/>
      <c r="J10" s="31"/>
    </row>
    <row r="11" spans="1:10" ht="58.5" customHeight="1" x14ac:dyDescent="0.3">
      <c r="A11" s="297"/>
      <c r="B11" s="302"/>
      <c r="C11" s="304"/>
      <c r="D11" s="8" t="s">
        <v>73</v>
      </c>
      <c r="E11" s="56" t="s">
        <v>69</v>
      </c>
      <c r="F11" s="32" t="s">
        <v>34</v>
      </c>
      <c r="G11" s="307"/>
      <c r="H11" s="33" t="s">
        <v>80</v>
      </c>
      <c r="I11" s="34" t="s">
        <v>69</v>
      </c>
      <c r="J11" s="39" t="s">
        <v>34</v>
      </c>
    </row>
    <row r="12" spans="1:10" ht="93.75" customHeight="1" x14ac:dyDescent="0.3">
      <c r="A12" s="65">
        <v>1</v>
      </c>
      <c r="B12" s="63" t="s">
        <v>7</v>
      </c>
      <c r="C12" s="9" t="s">
        <v>8</v>
      </c>
      <c r="D12" s="1">
        <v>689021.22</v>
      </c>
      <c r="E12" s="36">
        <f ca="1">E12:E65</f>
        <v>0</v>
      </c>
      <c r="F12" s="35">
        <f>D12</f>
        <v>689021.22</v>
      </c>
      <c r="G12" s="36"/>
      <c r="H12" s="36"/>
      <c r="I12" s="31"/>
      <c r="J12" s="31"/>
    </row>
    <row r="13" spans="1:10" ht="93.6" x14ac:dyDescent="0.3">
      <c r="A13" s="66"/>
      <c r="B13" s="64"/>
      <c r="C13" s="9" t="s">
        <v>9</v>
      </c>
      <c r="D13" s="1">
        <v>1116156.43</v>
      </c>
      <c r="E13" s="36"/>
      <c r="F13" s="35">
        <f t="shared" ref="F13:F20" si="0">D13</f>
        <v>1116156.43</v>
      </c>
      <c r="G13" s="36"/>
      <c r="H13" s="36"/>
      <c r="I13" s="31"/>
      <c r="J13" s="31"/>
    </row>
    <row r="14" spans="1:10" ht="78" x14ac:dyDescent="0.3">
      <c r="A14" s="66"/>
      <c r="B14" s="64"/>
      <c r="C14" s="9" t="s">
        <v>10</v>
      </c>
      <c r="D14" s="1">
        <v>160444.31</v>
      </c>
      <c r="E14" s="36"/>
      <c r="F14" s="35">
        <f t="shared" si="0"/>
        <v>160444.31</v>
      </c>
      <c r="G14" s="36"/>
      <c r="H14" s="36"/>
      <c r="I14" s="31"/>
      <c r="J14" s="31"/>
    </row>
    <row r="15" spans="1:10" ht="93.6" x14ac:dyDescent="0.3">
      <c r="A15" s="66"/>
      <c r="B15" s="64"/>
      <c r="C15" s="9" t="s">
        <v>11</v>
      </c>
      <c r="D15" s="1">
        <v>207475.77</v>
      </c>
      <c r="E15" s="36"/>
      <c r="F15" s="35">
        <f t="shared" si="0"/>
        <v>207475.77</v>
      </c>
      <c r="G15" s="36"/>
      <c r="H15" s="36"/>
      <c r="I15" s="31"/>
      <c r="J15" s="31"/>
    </row>
    <row r="16" spans="1:10" ht="93.6" x14ac:dyDescent="0.3">
      <c r="A16" s="66"/>
      <c r="B16" s="64"/>
      <c r="C16" s="9" t="s">
        <v>12</v>
      </c>
      <c r="D16" s="1">
        <v>684602.27</v>
      </c>
      <c r="E16" s="36"/>
      <c r="F16" s="35">
        <f t="shared" si="0"/>
        <v>684602.27</v>
      </c>
      <c r="G16" s="36"/>
      <c r="H16" s="36"/>
      <c r="I16" s="31"/>
      <c r="J16" s="31"/>
    </row>
    <row r="17" spans="1:10" ht="78" x14ac:dyDescent="0.3">
      <c r="A17" s="66"/>
      <c r="B17" s="64"/>
      <c r="C17" s="9" t="s">
        <v>13</v>
      </c>
      <c r="D17" s="1">
        <v>115200</v>
      </c>
      <c r="E17" s="36"/>
      <c r="F17" s="35">
        <f t="shared" si="0"/>
        <v>115200</v>
      </c>
      <c r="G17" s="36"/>
      <c r="H17" s="36"/>
      <c r="I17" s="31"/>
      <c r="J17" s="31"/>
    </row>
    <row r="18" spans="1:10" ht="78" x14ac:dyDescent="0.3">
      <c r="A18" s="66"/>
      <c r="B18" s="64"/>
      <c r="C18" s="9" t="s">
        <v>14</v>
      </c>
      <c r="D18" s="1">
        <v>70000</v>
      </c>
      <c r="E18" s="36"/>
      <c r="F18" s="35">
        <f t="shared" si="0"/>
        <v>70000</v>
      </c>
      <c r="G18" s="36"/>
      <c r="H18" s="36"/>
      <c r="I18" s="31"/>
      <c r="J18" s="31"/>
    </row>
    <row r="19" spans="1:10" ht="62.4" x14ac:dyDescent="0.3">
      <c r="A19" s="66"/>
      <c r="B19" s="64"/>
      <c r="C19" s="9" t="s">
        <v>15</v>
      </c>
      <c r="D19" s="1">
        <v>400000</v>
      </c>
      <c r="E19" s="36"/>
      <c r="F19" s="35">
        <f t="shared" si="0"/>
        <v>400000</v>
      </c>
      <c r="G19" s="36"/>
      <c r="H19" s="36"/>
      <c r="I19" s="31"/>
      <c r="J19" s="31"/>
    </row>
    <row r="20" spans="1:10" ht="63" customHeight="1" x14ac:dyDescent="0.3">
      <c r="A20" s="66"/>
      <c r="B20" s="64"/>
      <c r="C20" s="9" t="s">
        <v>35</v>
      </c>
      <c r="D20" s="1">
        <v>1000000</v>
      </c>
      <c r="E20" s="36"/>
      <c r="F20" s="35">
        <f t="shared" si="0"/>
        <v>1000000</v>
      </c>
      <c r="G20" s="36"/>
      <c r="H20" s="36"/>
      <c r="I20" s="31"/>
      <c r="J20" s="31"/>
    </row>
    <row r="21" spans="1:10" ht="63" customHeight="1" x14ac:dyDescent="0.3">
      <c r="A21" s="66"/>
      <c r="B21" s="64"/>
      <c r="C21" s="9" t="s">
        <v>88</v>
      </c>
      <c r="D21" s="1"/>
      <c r="E21" s="36">
        <v>111500</v>
      </c>
      <c r="F21" s="37">
        <f>E21</f>
        <v>111500</v>
      </c>
      <c r="G21" s="36"/>
      <c r="H21" s="36"/>
      <c r="I21" s="31"/>
      <c r="J21" s="31"/>
    </row>
    <row r="22" spans="1:10" ht="38.25" customHeight="1" x14ac:dyDescent="0.3">
      <c r="A22" s="66"/>
      <c r="B22" s="64"/>
      <c r="C22" s="9" t="s">
        <v>89</v>
      </c>
      <c r="D22" s="1"/>
      <c r="E22" s="36">
        <v>635400</v>
      </c>
      <c r="F22" s="37">
        <f>E22</f>
        <v>635400</v>
      </c>
      <c r="G22" s="36"/>
      <c r="H22" s="36"/>
      <c r="I22" s="31"/>
      <c r="J22" s="31"/>
    </row>
    <row r="23" spans="1:10" ht="62.4" x14ac:dyDescent="0.3">
      <c r="A23" s="66"/>
      <c r="B23" s="64"/>
      <c r="C23" s="9" t="s">
        <v>16</v>
      </c>
      <c r="D23" s="2">
        <f>SUM(D24:D40)</f>
        <v>71866799.999999985</v>
      </c>
      <c r="E23" s="40">
        <f>SUM(E24:E38)</f>
        <v>0</v>
      </c>
      <c r="F23" s="38">
        <f>SUM(F24:F40)</f>
        <v>84350150</v>
      </c>
      <c r="G23" s="36"/>
      <c r="H23" s="36"/>
      <c r="I23" s="31"/>
      <c r="J23" s="31"/>
    </row>
    <row r="24" spans="1:10" ht="46.8" x14ac:dyDescent="0.3">
      <c r="A24" s="66"/>
      <c r="B24" s="64"/>
      <c r="C24" s="9" t="s">
        <v>17</v>
      </c>
      <c r="D24" s="1">
        <v>14827000</v>
      </c>
      <c r="E24" s="36"/>
      <c r="F24" s="37">
        <f>D24</f>
        <v>14827000</v>
      </c>
      <c r="G24" s="36"/>
      <c r="H24" s="36"/>
      <c r="I24" s="31"/>
      <c r="J24" s="31"/>
    </row>
    <row r="25" spans="1:10" ht="31.2" x14ac:dyDescent="0.3">
      <c r="A25" s="66"/>
      <c r="B25" s="64"/>
      <c r="C25" s="9" t="s">
        <v>18</v>
      </c>
      <c r="D25" s="1">
        <v>843000</v>
      </c>
      <c r="E25" s="36"/>
      <c r="F25" s="37">
        <f t="shared" ref="F25:F43" si="1">D25</f>
        <v>843000</v>
      </c>
      <c r="G25" s="36"/>
      <c r="H25" s="36"/>
      <c r="I25" s="31"/>
      <c r="J25" s="31"/>
    </row>
    <row r="26" spans="1:10" ht="46.8" x14ac:dyDescent="0.3">
      <c r="A26" s="66"/>
      <c r="B26" s="64"/>
      <c r="C26" s="9" t="s">
        <v>19</v>
      </c>
      <c r="D26" s="1">
        <v>9578000</v>
      </c>
      <c r="E26" s="36"/>
      <c r="F26" s="37">
        <f t="shared" si="1"/>
        <v>9578000</v>
      </c>
      <c r="G26" s="36"/>
      <c r="H26" s="36"/>
      <c r="I26" s="31"/>
      <c r="J26" s="31"/>
    </row>
    <row r="27" spans="1:10" ht="46.8" x14ac:dyDescent="0.3">
      <c r="A27" s="66"/>
      <c r="B27" s="64"/>
      <c r="C27" s="9" t="s">
        <v>20</v>
      </c>
      <c r="D27" s="1">
        <v>21743179.129999999</v>
      </c>
      <c r="E27" s="36"/>
      <c r="F27" s="37">
        <f>D27-12038150</f>
        <v>9705029.129999999</v>
      </c>
      <c r="G27" s="36"/>
      <c r="H27" s="36"/>
      <c r="I27" s="31"/>
      <c r="J27" s="31"/>
    </row>
    <row r="28" spans="1:10" ht="31.2" x14ac:dyDescent="0.3">
      <c r="A28" s="66"/>
      <c r="B28" s="64"/>
      <c r="C28" s="9" t="s">
        <v>21</v>
      </c>
      <c r="D28" s="1">
        <v>7517000</v>
      </c>
      <c r="E28" s="36"/>
      <c r="F28" s="37">
        <f t="shared" si="1"/>
        <v>7517000</v>
      </c>
      <c r="G28" s="36"/>
      <c r="H28" s="36"/>
      <c r="I28" s="31"/>
      <c r="J28" s="31"/>
    </row>
    <row r="29" spans="1:10" ht="31.2" x14ac:dyDescent="0.3">
      <c r="A29" s="66"/>
      <c r="B29" s="64"/>
      <c r="C29" s="9" t="s">
        <v>22</v>
      </c>
      <c r="D29" s="1">
        <f>105000+6187.47</f>
        <v>111187.47</v>
      </c>
      <c r="E29" s="36"/>
      <c r="F29" s="37">
        <f t="shared" si="1"/>
        <v>111187.47</v>
      </c>
      <c r="G29" s="36"/>
      <c r="H29" s="36"/>
      <c r="I29" s="31"/>
      <c r="J29" s="31"/>
    </row>
    <row r="30" spans="1:10" ht="15.6" x14ac:dyDescent="0.3">
      <c r="A30" s="66"/>
      <c r="B30" s="64"/>
      <c r="C30" s="9" t="s">
        <v>23</v>
      </c>
      <c r="D30" s="1">
        <v>2133000</v>
      </c>
      <c r="E30" s="36"/>
      <c r="F30" s="37">
        <f t="shared" si="1"/>
        <v>2133000</v>
      </c>
      <c r="G30" s="36"/>
      <c r="H30" s="36"/>
      <c r="I30" s="31"/>
      <c r="J30" s="31"/>
    </row>
    <row r="31" spans="1:10" ht="31.2" x14ac:dyDescent="0.3">
      <c r="A31" s="66"/>
      <c r="B31" s="64"/>
      <c r="C31" s="9" t="s">
        <v>24</v>
      </c>
      <c r="D31" s="1">
        <f>66000+288339.32</f>
        <v>354339.32</v>
      </c>
      <c r="E31" s="36"/>
      <c r="F31" s="37">
        <f t="shared" si="1"/>
        <v>354339.32</v>
      </c>
      <c r="G31" s="36"/>
      <c r="H31" s="36"/>
      <c r="I31" s="31"/>
      <c r="J31" s="31"/>
    </row>
    <row r="32" spans="1:10" ht="31.2" x14ac:dyDescent="0.3">
      <c r="A32" s="66"/>
      <c r="B32" s="64"/>
      <c r="C32" s="9" t="s">
        <v>25</v>
      </c>
      <c r="D32" s="1">
        <v>1538000</v>
      </c>
      <c r="E32" s="36"/>
      <c r="F32" s="37">
        <f t="shared" si="1"/>
        <v>1538000</v>
      </c>
      <c r="G32" s="36"/>
      <c r="H32" s="36"/>
      <c r="I32" s="31"/>
      <c r="J32" s="31"/>
    </row>
    <row r="33" spans="1:10" ht="31.2" x14ac:dyDescent="0.3">
      <c r="A33" s="66"/>
      <c r="B33" s="64"/>
      <c r="C33" s="9" t="s">
        <v>26</v>
      </c>
      <c r="D33" s="1">
        <v>6667000</v>
      </c>
      <c r="E33" s="36"/>
      <c r="F33" s="37">
        <f t="shared" si="1"/>
        <v>6667000</v>
      </c>
      <c r="G33" s="36"/>
      <c r="H33" s="36"/>
      <c r="I33" s="31"/>
      <c r="J33" s="31"/>
    </row>
    <row r="34" spans="1:10" ht="31.2" x14ac:dyDescent="0.3">
      <c r="A34" s="66"/>
      <c r="B34" s="64"/>
      <c r="C34" s="9" t="s">
        <v>27</v>
      </c>
      <c r="D34" s="1">
        <v>2224000</v>
      </c>
      <c r="E34" s="36"/>
      <c r="F34" s="37">
        <f t="shared" si="1"/>
        <v>2224000</v>
      </c>
      <c r="G34" s="36"/>
      <c r="H34" s="36"/>
      <c r="I34" s="31"/>
      <c r="J34" s="31"/>
    </row>
    <row r="35" spans="1:10" ht="156" x14ac:dyDescent="0.3">
      <c r="A35" s="66"/>
      <c r="B35" s="64"/>
      <c r="C35" s="9" t="s">
        <v>52</v>
      </c>
      <c r="D35" s="1">
        <v>383670.02</v>
      </c>
      <c r="E35" s="36"/>
      <c r="F35" s="37">
        <f t="shared" si="1"/>
        <v>383670.02</v>
      </c>
      <c r="G35" s="36"/>
      <c r="H35" s="36"/>
      <c r="I35" s="31"/>
      <c r="J35" s="31"/>
    </row>
    <row r="36" spans="1:10" ht="31.2" x14ac:dyDescent="0.3">
      <c r="A36" s="66"/>
      <c r="B36" s="64"/>
      <c r="C36" s="9" t="s">
        <v>28</v>
      </c>
      <c r="D36" s="1">
        <f>4625620.87-198900-6187.47-288339.32-245300-383670.02</f>
        <v>3503224.0600000005</v>
      </c>
      <c r="E36" s="36"/>
      <c r="F36" s="37">
        <f t="shared" si="1"/>
        <v>3503224.0600000005</v>
      </c>
      <c r="G36" s="36"/>
      <c r="H36" s="36"/>
      <c r="I36" s="31"/>
      <c r="J36" s="31"/>
    </row>
    <row r="37" spans="1:10" ht="78" x14ac:dyDescent="0.3">
      <c r="A37" s="66"/>
      <c r="B37" s="64"/>
      <c r="C37" s="14" t="s">
        <v>51</v>
      </c>
      <c r="D37" s="1">
        <v>198900</v>
      </c>
      <c r="E37" s="36"/>
      <c r="F37" s="37">
        <f t="shared" si="1"/>
        <v>198900</v>
      </c>
      <c r="G37" s="36"/>
      <c r="H37" s="36"/>
      <c r="I37" s="31"/>
      <c r="J37" s="31"/>
    </row>
    <row r="38" spans="1:10" ht="62.4" x14ac:dyDescent="0.3">
      <c r="A38" s="66"/>
      <c r="B38" s="64"/>
      <c r="C38" s="14" t="s">
        <v>50</v>
      </c>
      <c r="D38" s="1">
        <v>245300</v>
      </c>
      <c r="E38" s="36"/>
      <c r="F38" s="37">
        <f t="shared" si="1"/>
        <v>245300</v>
      </c>
      <c r="G38" s="36"/>
      <c r="H38" s="36"/>
      <c r="I38" s="31"/>
      <c r="J38" s="31"/>
    </row>
    <row r="39" spans="1:10" ht="93.6" x14ac:dyDescent="0.3">
      <c r="A39" s="66"/>
      <c r="B39" s="64"/>
      <c r="C39" s="69" t="s">
        <v>101</v>
      </c>
      <c r="D39" s="1"/>
      <c r="E39" s="36">
        <v>15121500</v>
      </c>
      <c r="F39" s="37">
        <f>E39</f>
        <v>15121500</v>
      </c>
      <c r="G39" s="36"/>
      <c r="H39" s="36"/>
      <c r="I39" s="31"/>
      <c r="J39" s="31"/>
    </row>
    <row r="40" spans="1:10" ht="62.4" x14ac:dyDescent="0.3">
      <c r="A40" s="66"/>
      <c r="B40" s="64"/>
      <c r="C40" s="69" t="s">
        <v>102</v>
      </c>
      <c r="D40" s="1"/>
      <c r="E40" s="36">
        <v>9400000</v>
      </c>
      <c r="F40" s="37">
        <f>E40</f>
        <v>9400000</v>
      </c>
      <c r="G40" s="36"/>
      <c r="H40" s="36">
        <v>9400000</v>
      </c>
      <c r="I40" s="39">
        <v>-9400000</v>
      </c>
      <c r="J40" s="39">
        <v>0</v>
      </c>
    </row>
    <row r="41" spans="1:10" ht="109.2" x14ac:dyDescent="0.3">
      <c r="A41" s="66"/>
      <c r="B41" s="64"/>
      <c r="C41" s="9" t="s">
        <v>39</v>
      </c>
      <c r="D41" s="17">
        <v>238500</v>
      </c>
      <c r="E41" s="58"/>
      <c r="F41" s="37">
        <f t="shared" si="1"/>
        <v>238500</v>
      </c>
      <c r="G41" s="36"/>
      <c r="H41" s="36"/>
      <c r="I41" s="31"/>
      <c r="J41" s="31"/>
    </row>
    <row r="42" spans="1:10" ht="124.8" x14ac:dyDescent="0.3">
      <c r="A42" s="66"/>
      <c r="B42" s="64"/>
      <c r="C42" s="9" t="s">
        <v>29</v>
      </c>
      <c r="D42" s="1">
        <v>82000</v>
      </c>
      <c r="E42" s="36"/>
      <c r="F42" s="37">
        <f t="shared" si="1"/>
        <v>82000</v>
      </c>
      <c r="G42" s="36"/>
      <c r="H42" s="36"/>
      <c r="I42" s="31"/>
      <c r="J42" s="31"/>
    </row>
    <row r="43" spans="1:10" ht="124.8" x14ac:dyDescent="0.3">
      <c r="A43" s="66"/>
      <c r="B43" s="64"/>
      <c r="C43" s="9" t="s">
        <v>36</v>
      </c>
      <c r="D43" s="1">
        <v>1600000</v>
      </c>
      <c r="E43" s="36"/>
      <c r="F43" s="37">
        <f t="shared" si="1"/>
        <v>1600000</v>
      </c>
      <c r="G43" s="36"/>
      <c r="H43" s="36"/>
      <c r="I43" s="31"/>
      <c r="J43" s="31"/>
    </row>
    <row r="44" spans="1:10" s="28" customFormat="1" ht="31.5" customHeight="1" x14ac:dyDescent="0.3">
      <c r="A44" s="68"/>
      <c r="B44" s="67"/>
      <c r="C44" s="57" t="s">
        <v>103</v>
      </c>
      <c r="D44" s="36"/>
      <c r="E44" s="36"/>
      <c r="F44" s="37"/>
      <c r="G44" s="36"/>
      <c r="H44" s="36"/>
      <c r="I44" s="39">
        <v>145500</v>
      </c>
      <c r="J44" s="39">
        <f>I44</f>
        <v>145500</v>
      </c>
    </row>
    <row r="45" spans="1:10" ht="67.5" customHeight="1" x14ac:dyDescent="0.3">
      <c r="A45" s="275" t="s">
        <v>56</v>
      </c>
      <c r="B45" s="276"/>
      <c r="C45" s="277"/>
      <c r="D45" s="2">
        <f>SUM(D12:D44)-D23</f>
        <v>78230199.999999985</v>
      </c>
      <c r="E45" s="40">
        <f>E40+E39+E22+E21</f>
        <v>25268400</v>
      </c>
      <c r="F45" s="38">
        <f>F12+F13+F14+F15+F16+F17+F18+F19+F20+F21+F22+F24+F25+F26+F27+F28+F29+F30+F31+F32+F33+F34+F35+F36+F37+F38+F41+F42+F43+F39+F40</f>
        <v>91460450</v>
      </c>
      <c r="G45" s="40">
        <f>G43+G42+G41+G23+G20+G19+G18+G17+G16+G15+G14+G13+G12</f>
        <v>0</v>
      </c>
      <c r="H45" s="40">
        <f>H40</f>
        <v>9400000</v>
      </c>
      <c r="I45" s="40">
        <f>I44+I40</f>
        <v>-9254500</v>
      </c>
      <c r="J45" s="40">
        <f>J44+J40</f>
        <v>145500</v>
      </c>
    </row>
    <row r="46" spans="1:10" ht="63" customHeight="1" x14ac:dyDescent="0.3">
      <c r="A46" s="308">
        <v>2</v>
      </c>
      <c r="B46" s="284" t="s">
        <v>30</v>
      </c>
      <c r="C46" s="10" t="s">
        <v>49</v>
      </c>
      <c r="D46" s="12">
        <v>0</v>
      </c>
      <c r="E46" s="43"/>
      <c r="F46" s="41"/>
      <c r="G46" s="42">
        <v>252352</v>
      </c>
      <c r="H46" s="43"/>
      <c r="I46" s="31"/>
      <c r="J46" s="31"/>
    </row>
    <row r="47" spans="1:10" ht="46.8" x14ac:dyDescent="0.3">
      <c r="A47" s="309"/>
      <c r="B47" s="285"/>
      <c r="C47" s="10" t="s">
        <v>42</v>
      </c>
      <c r="D47" s="18">
        <v>454613.06</v>
      </c>
      <c r="E47" s="42"/>
      <c r="F47" s="44">
        <f>D47</f>
        <v>454613.06</v>
      </c>
      <c r="G47" s="42"/>
      <c r="H47" s="42"/>
      <c r="I47" s="31"/>
      <c r="J47" s="31"/>
    </row>
    <row r="48" spans="1:10" ht="62.4" x14ac:dyDescent="0.3">
      <c r="A48" s="309"/>
      <c r="B48" s="285"/>
      <c r="C48" s="10" t="s">
        <v>43</v>
      </c>
      <c r="D48" s="18">
        <f>588000+830832.72</f>
        <v>1418832.72</v>
      </c>
      <c r="E48" s="42">
        <f>1200000+830900</f>
        <v>2030900</v>
      </c>
      <c r="F48" s="44">
        <f>E48+588000</f>
        <v>2618900</v>
      </c>
      <c r="G48" s="42"/>
      <c r="H48" s="42"/>
      <c r="I48" s="31"/>
      <c r="J48" s="31"/>
    </row>
    <row r="49" spans="1:10" ht="46.8" x14ac:dyDescent="0.3">
      <c r="A49" s="309"/>
      <c r="B49" s="285"/>
      <c r="C49" s="10" t="s">
        <v>44</v>
      </c>
      <c r="D49" s="4">
        <v>0</v>
      </c>
      <c r="E49" s="42"/>
      <c r="F49" s="44"/>
      <c r="G49" s="42"/>
      <c r="H49" s="42">
        <v>1688400</v>
      </c>
      <c r="I49" s="31"/>
      <c r="J49" s="39">
        <f>H49</f>
        <v>1688400</v>
      </c>
    </row>
    <row r="50" spans="1:10" ht="46.8" x14ac:dyDescent="0.3">
      <c r="A50" s="309"/>
      <c r="B50" s="285"/>
      <c r="C50" s="10" t="s">
        <v>45</v>
      </c>
      <c r="D50" s="4">
        <v>396400</v>
      </c>
      <c r="E50" s="42"/>
      <c r="F50" s="44">
        <f>D50</f>
        <v>396400</v>
      </c>
      <c r="G50" s="42"/>
      <c r="H50" s="42"/>
      <c r="I50" s="31"/>
      <c r="J50" s="31"/>
    </row>
    <row r="51" spans="1:10" ht="78" x14ac:dyDescent="0.3">
      <c r="A51" s="309"/>
      <c r="B51" s="286"/>
      <c r="C51" s="10" t="s">
        <v>31</v>
      </c>
      <c r="D51" s="4">
        <v>9800</v>
      </c>
      <c r="E51" s="42"/>
      <c r="F51" s="44">
        <f>D51</f>
        <v>9800</v>
      </c>
      <c r="G51" s="42"/>
      <c r="H51" s="42"/>
      <c r="I51" s="31"/>
      <c r="J51" s="31"/>
    </row>
    <row r="52" spans="1:10" ht="31.2" x14ac:dyDescent="0.3">
      <c r="A52" s="310"/>
      <c r="B52" s="4"/>
      <c r="C52" s="10" t="s">
        <v>90</v>
      </c>
      <c r="D52" s="4"/>
      <c r="E52" s="42">
        <v>240000</v>
      </c>
      <c r="F52" s="44">
        <f>E52</f>
        <v>240000</v>
      </c>
      <c r="G52" s="42"/>
      <c r="H52" s="42"/>
      <c r="I52" s="31"/>
      <c r="J52" s="31"/>
    </row>
    <row r="53" spans="1:10" ht="62.4" x14ac:dyDescent="0.3">
      <c r="A53" s="310"/>
      <c r="B53" s="4"/>
      <c r="C53" s="10" t="s">
        <v>105</v>
      </c>
      <c r="D53" s="4"/>
      <c r="E53" s="42">
        <v>12579.51</v>
      </c>
      <c r="F53" s="44">
        <f>E53</f>
        <v>12579.51</v>
      </c>
      <c r="G53" s="42"/>
      <c r="H53" s="42"/>
      <c r="I53" s="31"/>
      <c r="J53" s="31"/>
    </row>
    <row r="54" spans="1:10" ht="31.2" x14ac:dyDescent="0.3">
      <c r="A54" s="311"/>
      <c r="B54" s="4"/>
      <c r="C54" s="72" t="s">
        <v>106</v>
      </c>
      <c r="D54" s="4"/>
      <c r="E54" s="42">
        <v>941020.49</v>
      </c>
      <c r="F54" s="44">
        <f>E54</f>
        <v>941020.49</v>
      </c>
      <c r="G54" s="42"/>
      <c r="H54" s="42"/>
      <c r="I54" s="31"/>
      <c r="J54" s="31"/>
    </row>
    <row r="55" spans="1:10" ht="31.5" customHeight="1" x14ac:dyDescent="0.3">
      <c r="A55" s="278" t="s">
        <v>57</v>
      </c>
      <c r="B55" s="279"/>
      <c r="C55" s="280"/>
      <c r="D55" s="11">
        <f>D51+D50+D49++D48+D47+D46</f>
        <v>2279645.7799999998</v>
      </c>
      <c r="E55" s="46">
        <f>E53+E52+E48+E54</f>
        <v>3224500</v>
      </c>
      <c r="F55" s="46">
        <f>F53+F52+F48+F54+F51+F50+F47</f>
        <v>4673313.0599999996</v>
      </c>
      <c r="G55" s="46">
        <f>SUM(G46:G51)</f>
        <v>252352</v>
      </c>
      <c r="H55" s="46">
        <f>SUM(H46:H51)</f>
        <v>1688400</v>
      </c>
      <c r="I55" s="46">
        <f>SUM(I46:I51)</f>
        <v>0</v>
      </c>
      <c r="J55" s="46">
        <f>SUM(J46:J51)</f>
        <v>1688400</v>
      </c>
    </row>
    <row r="56" spans="1:10" ht="112.5" customHeight="1" x14ac:dyDescent="0.3">
      <c r="A56" s="15" t="s">
        <v>53</v>
      </c>
      <c r="B56" s="4" t="s">
        <v>59</v>
      </c>
      <c r="C56" s="4" t="s">
        <v>75</v>
      </c>
      <c r="D56" s="4">
        <v>172478.65</v>
      </c>
      <c r="E56" s="42">
        <v>172500</v>
      </c>
      <c r="F56" s="44">
        <f>E56</f>
        <v>172500</v>
      </c>
      <c r="G56" s="42"/>
      <c r="H56" s="42"/>
      <c r="I56" s="31"/>
      <c r="J56" s="31"/>
    </row>
    <row r="57" spans="1:10" ht="74.25" customHeight="1" x14ac:dyDescent="0.3">
      <c r="A57" s="15"/>
      <c r="B57" s="4"/>
      <c r="C57" s="4" t="s">
        <v>104</v>
      </c>
      <c r="D57" s="4"/>
      <c r="E57" s="42">
        <f>101640-G57</f>
        <v>54040</v>
      </c>
      <c r="F57" s="44">
        <f>E57</f>
        <v>54040</v>
      </c>
      <c r="G57" s="42">
        <v>47600</v>
      </c>
      <c r="H57" s="5"/>
      <c r="I57" s="31"/>
      <c r="J57" s="31"/>
    </row>
    <row r="58" spans="1:10" s="28" customFormat="1" ht="61.5" customHeight="1" x14ac:dyDescent="0.3">
      <c r="A58" s="59"/>
      <c r="B58" s="42"/>
      <c r="C58" s="42" t="s">
        <v>76</v>
      </c>
      <c r="D58" s="42"/>
      <c r="E58" s="42"/>
      <c r="F58" s="44"/>
      <c r="G58" s="42"/>
      <c r="H58" s="42"/>
      <c r="I58" s="39">
        <v>54099</v>
      </c>
      <c r="J58" s="39">
        <f>I58</f>
        <v>54099</v>
      </c>
    </row>
    <row r="59" spans="1:10" s="28" customFormat="1" ht="31.5" customHeight="1" x14ac:dyDescent="0.3">
      <c r="A59" s="290" t="s">
        <v>60</v>
      </c>
      <c r="B59" s="291"/>
      <c r="C59" s="292"/>
      <c r="D59" s="40">
        <f>D56</f>
        <v>172478.65</v>
      </c>
      <c r="E59" s="40">
        <f>E57+E56</f>
        <v>226540</v>
      </c>
      <c r="F59" s="38">
        <f>F57+F56</f>
        <v>226540</v>
      </c>
      <c r="G59" s="40">
        <f>G57</f>
        <v>47600</v>
      </c>
      <c r="H59" s="40">
        <v>0</v>
      </c>
      <c r="I59" s="47">
        <f>I58</f>
        <v>54099</v>
      </c>
      <c r="J59" s="47">
        <f>J58</f>
        <v>54099</v>
      </c>
    </row>
    <row r="60" spans="1:10" s="28" customFormat="1" ht="126" customHeight="1" x14ac:dyDescent="0.3">
      <c r="A60" s="59" t="s">
        <v>58</v>
      </c>
      <c r="B60" s="42" t="s">
        <v>55</v>
      </c>
      <c r="C60" s="42" t="s">
        <v>54</v>
      </c>
      <c r="D60" s="42">
        <v>2513555.94</v>
      </c>
      <c r="E60" s="42">
        <v>2513600</v>
      </c>
      <c r="F60" s="44">
        <f>E60</f>
        <v>2513600</v>
      </c>
      <c r="G60" s="42"/>
      <c r="H60" s="42"/>
      <c r="I60" s="31"/>
      <c r="J60" s="31"/>
    </row>
    <row r="61" spans="1:10" ht="65.25" customHeight="1" x14ac:dyDescent="0.3">
      <c r="A61" s="275" t="s">
        <v>98</v>
      </c>
      <c r="B61" s="276"/>
      <c r="C61" s="277"/>
      <c r="D61" s="2">
        <f>D60</f>
        <v>2513555.94</v>
      </c>
      <c r="E61" s="40">
        <f>E60</f>
        <v>2513600</v>
      </c>
      <c r="F61" s="38">
        <f>F60</f>
        <v>2513600</v>
      </c>
      <c r="G61" s="40">
        <f>G60</f>
        <v>0</v>
      </c>
      <c r="H61" s="40">
        <f>H60</f>
        <v>0</v>
      </c>
      <c r="I61" s="31"/>
      <c r="J61" s="31"/>
    </row>
    <row r="62" spans="1:10" ht="31.5" customHeight="1" x14ac:dyDescent="0.3">
      <c r="A62" s="287">
        <v>3</v>
      </c>
      <c r="B62" s="284" t="s">
        <v>32</v>
      </c>
      <c r="C62" s="10" t="s">
        <v>67</v>
      </c>
      <c r="D62" s="18">
        <v>75451</v>
      </c>
      <c r="E62" s="42"/>
      <c r="F62" s="44">
        <f>D62</f>
        <v>75451</v>
      </c>
      <c r="G62" s="30"/>
      <c r="H62" s="30"/>
      <c r="I62" s="31"/>
      <c r="J62" s="31"/>
    </row>
    <row r="63" spans="1:10" ht="46.8" x14ac:dyDescent="0.3">
      <c r="A63" s="288"/>
      <c r="B63" s="285"/>
      <c r="C63" s="10" t="s">
        <v>68</v>
      </c>
      <c r="D63" s="18">
        <v>249492.38</v>
      </c>
      <c r="E63" s="42">
        <v>43897</v>
      </c>
      <c r="F63" s="44">
        <f>D63+E63</f>
        <v>293389.38</v>
      </c>
      <c r="G63" s="30"/>
      <c r="H63" s="30"/>
      <c r="I63" s="31"/>
      <c r="J63" s="31"/>
    </row>
    <row r="64" spans="1:10" ht="31.2" x14ac:dyDescent="0.3">
      <c r="A64" s="288"/>
      <c r="B64" s="285"/>
      <c r="C64" s="10" t="s">
        <v>85</v>
      </c>
      <c r="D64" s="18">
        <v>215000</v>
      </c>
      <c r="E64" s="42">
        <v>321398</v>
      </c>
      <c r="F64" s="44">
        <f>D64+E64</f>
        <v>536398</v>
      </c>
      <c r="G64" s="30"/>
      <c r="H64" s="30"/>
      <c r="I64" s="31"/>
      <c r="J64" s="31"/>
    </row>
    <row r="65" spans="1:10" ht="62.4" x14ac:dyDescent="0.3">
      <c r="A65" s="288"/>
      <c r="B65" s="285"/>
      <c r="C65" s="10" t="s">
        <v>46</v>
      </c>
      <c r="D65" s="18">
        <v>505000</v>
      </c>
      <c r="E65" s="42"/>
      <c r="F65" s="44">
        <f>D65</f>
        <v>505000</v>
      </c>
      <c r="G65" s="30"/>
      <c r="H65" s="30"/>
      <c r="I65" s="31"/>
      <c r="J65" s="31"/>
    </row>
    <row r="66" spans="1:10" ht="31.2" x14ac:dyDescent="0.3">
      <c r="A66" s="289"/>
      <c r="B66" s="286"/>
      <c r="C66" s="10" t="s">
        <v>47</v>
      </c>
      <c r="D66" s="18">
        <v>166900</v>
      </c>
      <c r="E66" s="42">
        <v>148885</v>
      </c>
      <c r="F66" s="44">
        <f>D66+E66</f>
        <v>315785</v>
      </c>
      <c r="G66" s="30"/>
      <c r="H66" s="30"/>
      <c r="I66" s="31"/>
      <c r="J66" s="31"/>
    </row>
    <row r="67" spans="1:10" ht="31.2" x14ac:dyDescent="0.3">
      <c r="A67" s="15"/>
      <c r="B67" s="4"/>
      <c r="C67" s="10" t="s">
        <v>86</v>
      </c>
      <c r="D67" s="18"/>
      <c r="E67" s="42">
        <v>655300</v>
      </c>
      <c r="F67" s="44">
        <f>E67</f>
        <v>655300</v>
      </c>
      <c r="G67" s="30"/>
      <c r="H67" s="30"/>
      <c r="I67" s="31"/>
      <c r="J67" s="31"/>
    </row>
    <row r="68" spans="1:10" ht="46.8" x14ac:dyDescent="0.3">
      <c r="A68" s="15"/>
      <c r="B68" s="4"/>
      <c r="C68" s="10" t="s">
        <v>87</v>
      </c>
      <c r="D68" s="18"/>
      <c r="E68" s="42">
        <v>700920</v>
      </c>
      <c r="F68" s="44">
        <f>E68</f>
        <v>700920</v>
      </c>
      <c r="G68" s="30"/>
      <c r="H68" s="30"/>
      <c r="I68" s="31"/>
      <c r="J68" s="31"/>
    </row>
    <row r="69" spans="1:10" ht="42.75" customHeight="1" x14ac:dyDescent="0.3">
      <c r="A69" s="15"/>
      <c r="B69" s="4"/>
      <c r="C69" s="26" t="s">
        <v>81</v>
      </c>
      <c r="D69" s="18"/>
      <c r="E69" s="42"/>
      <c r="F69" s="44"/>
      <c r="G69" s="30"/>
      <c r="H69" s="30"/>
      <c r="I69" s="39">
        <v>403700</v>
      </c>
      <c r="J69" s="39">
        <f>I69</f>
        <v>403700</v>
      </c>
    </row>
    <row r="70" spans="1:10" ht="54" customHeight="1" x14ac:dyDescent="0.3">
      <c r="A70" s="281" t="s">
        <v>40</v>
      </c>
      <c r="B70" s="282"/>
      <c r="C70" s="283"/>
      <c r="D70" s="3">
        <f>SUM(D62:D66)</f>
        <v>1211843.3799999999</v>
      </c>
      <c r="E70" s="46">
        <f>E68+E67+E66+E65+E64+E63+E62</f>
        <v>1870400</v>
      </c>
      <c r="F70" s="46">
        <f>F68+F67+F66+F65+F64+F63+F62</f>
        <v>3082243.38</v>
      </c>
      <c r="G70" s="46">
        <f>SUM(G62:G66)</f>
        <v>0</v>
      </c>
      <c r="H70" s="46">
        <f>SUM(H62:H66)</f>
        <v>0</v>
      </c>
      <c r="I70" s="47">
        <f>I69</f>
        <v>403700</v>
      </c>
      <c r="J70" s="47">
        <f>J69</f>
        <v>403700</v>
      </c>
    </row>
    <row r="71" spans="1:10" ht="126" customHeight="1" x14ac:dyDescent="0.3">
      <c r="A71" s="287">
        <v>4</v>
      </c>
      <c r="B71" s="284" t="s">
        <v>33</v>
      </c>
      <c r="C71" s="10" t="s">
        <v>93</v>
      </c>
      <c r="D71" s="17">
        <v>5910371.5599999996</v>
      </c>
      <c r="E71" s="51">
        <v>1390000</v>
      </c>
      <c r="F71" s="48">
        <f>D71+E71+31657</f>
        <v>7332028.5599999996</v>
      </c>
      <c r="G71" s="30"/>
      <c r="H71" s="30"/>
      <c r="I71" s="31"/>
      <c r="J71" s="31"/>
    </row>
    <row r="72" spans="1:10" ht="78" x14ac:dyDescent="0.3">
      <c r="A72" s="288"/>
      <c r="B72" s="285"/>
      <c r="C72" s="10" t="s">
        <v>48</v>
      </c>
      <c r="D72" s="4">
        <v>25000</v>
      </c>
      <c r="E72" s="42"/>
      <c r="F72" s="44">
        <f>D72</f>
        <v>25000</v>
      </c>
      <c r="G72" s="30"/>
      <c r="H72" s="30"/>
      <c r="I72" s="31"/>
      <c r="J72" s="31"/>
    </row>
    <row r="73" spans="1:10" ht="187.2" x14ac:dyDescent="0.3">
      <c r="A73" s="289"/>
      <c r="B73" s="286"/>
      <c r="C73" s="19" t="s">
        <v>99</v>
      </c>
      <c r="D73" s="4">
        <v>40000000</v>
      </c>
      <c r="E73" s="39">
        <f>-1290000-222162</f>
        <v>-1512162</v>
      </c>
      <c r="F73" s="49">
        <f>D73+E73</f>
        <v>38487838</v>
      </c>
      <c r="G73" s="30"/>
      <c r="H73" s="30"/>
      <c r="I73" s="31"/>
      <c r="J73" s="50"/>
    </row>
    <row r="74" spans="1:10" ht="187.2" x14ac:dyDescent="0.3">
      <c r="A74" s="15"/>
      <c r="B74" s="4"/>
      <c r="C74" s="19" t="s">
        <v>100</v>
      </c>
      <c r="D74" s="4">
        <v>705000</v>
      </c>
      <c r="E74" s="39"/>
      <c r="F74" s="49">
        <f>D74</f>
        <v>705000</v>
      </c>
      <c r="G74" s="30"/>
      <c r="H74" s="30"/>
      <c r="I74" s="31"/>
      <c r="J74" s="50"/>
    </row>
    <row r="75" spans="1:10" ht="140.4" x14ac:dyDescent="0.3">
      <c r="A75" s="15"/>
      <c r="B75" s="4"/>
      <c r="C75" s="19" t="s">
        <v>107</v>
      </c>
      <c r="D75" s="4"/>
      <c r="E75" s="39">
        <f>F75</f>
        <v>618451</v>
      </c>
      <c r="F75" s="49">
        <f>514805+103646</f>
        <v>618451</v>
      </c>
      <c r="G75" s="30"/>
      <c r="H75" s="30"/>
      <c r="I75" s="51">
        <f>J75</f>
        <v>244701</v>
      </c>
      <c r="J75" s="50">
        <v>244701</v>
      </c>
    </row>
    <row r="76" spans="1:10" ht="93.6" x14ac:dyDescent="0.3">
      <c r="A76" s="15"/>
      <c r="B76" s="4"/>
      <c r="C76" s="61" t="s">
        <v>108</v>
      </c>
      <c r="D76" s="4"/>
      <c r="E76" s="39">
        <f>F76</f>
        <v>31552</v>
      </c>
      <c r="F76" s="49">
        <v>31552</v>
      </c>
      <c r="G76" s="30"/>
      <c r="H76" s="30"/>
      <c r="I76" s="31"/>
      <c r="J76" s="31"/>
    </row>
    <row r="77" spans="1:10" ht="78" x14ac:dyDescent="0.3">
      <c r="A77" s="15"/>
      <c r="B77" s="4"/>
      <c r="C77" s="61" t="s">
        <v>74</v>
      </c>
      <c r="D77" s="4"/>
      <c r="E77" s="42">
        <f>F77</f>
        <v>26700</v>
      </c>
      <c r="F77" s="44">
        <v>26700</v>
      </c>
      <c r="G77" s="30"/>
      <c r="H77" s="30"/>
      <c r="I77" s="31"/>
      <c r="J77" s="31"/>
    </row>
    <row r="78" spans="1:10" ht="16.5" hidden="1" customHeight="1" x14ac:dyDescent="0.35">
      <c r="A78" s="15"/>
      <c r="B78" s="60"/>
      <c r="C78" s="25"/>
      <c r="D78" s="60"/>
      <c r="E78" s="42"/>
      <c r="F78" s="44"/>
      <c r="G78" s="30"/>
      <c r="H78" s="30"/>
      <c r="I78" s="31"/>
      <c r="J78" s="31"/>
    </row>
    <row r="79" spans="1:10" ht="47.25" hidden="1" customHeight="1" x14ac:dyDescent="0.35">
      <c r="A79" s="15"/>
      <c r="B79" s="4"/>
      <c r="C79" s="19" t="s">
        <v>70</v>
      </c>
      <c r="D79" s="4"/>
      <c r="E79" s="42">
        <v>0</v>
      </c>
      <c r="F79" s="44">
        <f>E79</f>
        <v>0</v>
      </c>
      <c r="G79" s="30"/>
      <c r="H79" s="30"/>
      <c r="I79" s="31"/>
      <c r="J79" s="31"/>
    </row>
    <row r="80" spans="1:10" ht="31.5" customHeight="1" x14ac:dyDescent="0.3">
      <c r="A80" s="281" t="s">
        <v>41</v>
      </c>
      <c r="B80" s="282"/>
      <c r="C80" s="283"/>
      <c r="D80" s="3">
        <f>SUM(D71:D73)</f>
        <v>45935371.560000002</v>
      </c>
      <c r="E80" s="46">
        <f>E79+E73+E71+E75+E76+E77</f>
        <v>554541</v>
      </c>
      <c r="F80" s="45">
        <f>F79+F73+F72+F71+F75+F77+F76+F74</f>
        <v>47226569.560000002</v>
      </c>
      <c r="G80" s="46">
        <f>SUM(G71:G73)</f>
        <v>0</v>
      </c>
      <c r="H80" s="46">
        <f>SUM(H71:H73)</f>
        <v>0</v>
      </c>
      <c r="I80" s="47">
        <f>I75</f>
        <v>244701</v>
      </c>
      <c r="J80" s="47">
        <f>J75</f>
        <v>244701</v>
      </c>
    </row>
    <row r="81" spans="1:10" ht="31.5" hidden="1" customHeight="1" x14ac:dyDescent="0.35">
      <c r="A81" s="293"/>
      <c r="B81" s="294"/>
      <c r="C81" s="295"/>
      <c r="D81" s="3"/>
      <c r="E81" s="46"/>
      <c r="F81" s="45"/>
      <c r="G81" s="46"/>
      <c r="H81" s="46"/>
      <c r="I81" s="47"/>
      <c r="J81" s="47"/>
    </row>
    <row r="82" spans="1:10" ht="15.75" customHeight="1" x14ac:dyDescent="0.3">
      <c r="A82" s="269" t="s">
        <v>83</v>
      </c>
      <c r="B82" s="270"/>
      <c r="C82" s="271"/>
      <c r="D82" s="13">
        <f t="shared" ref="D82:J82" si="2">D80+D70+D55+D45+D61+D59</f>
        <v>130343095.31</v>
      </c>
      <c r="E82" s="53">
        <f t="shared" si="2"/>
        <v>33657981</v>
      </c>
      <c r="F82" s="52">
        <f t="shared" si="2"/>
        <v>149182716</v>
      </c>
      <c r="G82" s="53">
        <f>G80+G70+G55+G45+G61+G59</f>
        <v>299952</v>
      </c>
      <c r="H82" s="53">
        <f t="shared" si="2"/>
        <v>11088400</v>
      </c>
      <c r="I82" s="53">
        <f t="shared" si="2"/>
        <v>-8552000</v>
      </c>
      <c r="J82" s="53">
        <f t="shared" si="2"/>
        <v>2536400</v>
      </c>
    </row>
    <row r="83" spans="1:10" ht="15" customHeight="1" x14ac:dyDescent="0.3">
      <c r="A83" s="269" t="s">
        <v>109</v>
      </c>
      <c r="B83" s="270"/>
      <c r="C83" s="271"/>
      <c r="D83" s="13"/>
      <c r="E83" s="53"/>
      <c r="F83" s="312">
        <f>F82+G82</f>
        <v>149482668</v>
      </c>
      <c r="G83" s="313"/>
      <c r="H83" s="53"/>
      <c r="I83" s="53"/>
      <c r="J83" s="53"/>
    </row>
    <row r="84" spans="1:10" ht="15.75" customHeight="1" x14ac:dyDescent="0.3">
      <c r="A84" s="269" t="s">
        <v>82</v>
      </c>
      <c r="B84" s="270"/>
      <c r="C84" s="271"/>
      <c r="D84" s="13"/>
      <c r="E84" s="53"/>
      <c r="F84" s="52"/>
      <c r="G84" s="54"/>
      <c r="H84" s="53"/>
      <c r="I84" s="53"/>
      <c r="J84" s="53">
        <f>J82</f>
        <v>2536400</v>
      </c>
    </row>
    <row r="85" spans="1:10" ht="15.75" customHeight="1" x14ac:dyDescent="0.3">
      <c r="A85" s="269" t="s">
        <v>84</v>
      </c>
      <c r="B85" s="270"/>
      <c r="C85" s="271"/>
      <c r="D85" s="272">
        <f>F82+G82+J82</f>
        <v>152019068</v>
      </c>
      <c r="E85" s="273"/>
      <c r="F85" s="273"/>
      <c r="G85" s="273"/>
      <c r="H85" s="273"/>
      <c r="I85" s="273"/>
      <c r="J85" s="274"/>
    </row>
    <row r="86" spans="1:10" ht="45" hidden="1" customHeight="1" x14ac:dyDescent="0.4">
      <c r="A86" s="7"/>
      <c r="D86" s="5">
        <f>D82+E82</f>
        <v>164001076.31</v>
      </c>
      <c r="I86" s="28">
        <f>I82-705441</f>
        <v>-9257441</v>
      </c>
      <c r="J86" s="28">
        <v>2536400</v>
      </c>
    </row>
    <row r="87" spans="1:10" ht="45" hidden="1" customHeight="1" x14ac:dyDescent="0.4">
      <c r="A87" s="7"/>
      <c r="F87" s="27">
        <f>D89-F82</f>
        <v>12560264</v>
      </c>
      <c r="J87" s="28">
        <f>J86-J84</f>
        <v>0</v>
      </c>
    </row>
    <row r="88" spans="1:10" ht="18.75" hidden="1" customHeight="1" x14ac:dyDescent="0.4">
      <c r="A88" s="7"/>
      <c r="I88" s="28">
        <v>702500</v>
      </c>
    </row>
    <row r="89" spans="1:10" ht="18.75" hidden="1" customHeight="1" x14ac:dyDescent="0.4">
      <c r="A89" s="7"/>
      <c r="C89" s="5" t="s">
        <v>71</v>
      </c>
      <c r="D89" s="5">
        <v>161742980</v>
      </c>
      <c r="E89" s="28">
        <f>F82+G82</f>
        <v>149482668</v>
      </c>
      <c r="F89" s="27">
        <f>D89-E89</f>
        <v>12260312</v>
      </c>
      <c r="G89" s="28">
        <f>D89-E89</f>
        <v>12260312</v>
      </c>
      <c r="I89" s="28">
        <v>145500</v>
      </c>
    </row>
    <row r="90" spans="1:10" ht="15" hidden="1" customHeight="1" x14ac:dyDescent="0.35">
      <c r="C90" s="5" t="s">
        <v>72</v>
      </c>
      <c r="D90" s="5">
        <v>126486475.68000001</v>
      </c>
      <c r="F90" s="27">
        <f>F79+F89</f>
        <v>12260312</v>
      </c>
      <c r="I90" s="28">
        <f>I88+I89</f>
        <v>848000</v>
      </c>
    </row>
    <row r="91" spans="1:10" ht="15" hidden="1" customHeight="1" x14ac:dyDescent="0.35">
      <c r="D91" s="5">
        <f>D89-D90</f>
        <v>35256504.319999993</v>
      </c>
      <c r="I91" s="28">
        <f>I90-I82</f>
        <v>9400000</v>
      </c>
    </row>
    <row r="92" spans="1:10" ht="15" hidden="1" customHeight="1" x14ac:dyDescent="0.35"/>
    <row r="93" spans="1:10" ht="15" hidden="1" customHeight="1" x14ac:dyDescent="0.35"/>
  </sheetData>
  <mergeCells count="32">
    <mergeCell ref="D1:H1"/>
    <mergeCell ref="D2:H2"/>
    <mergeCell ref="D3:H3"/>
    <mergeCell ref="D4:H4"/>
    <mergeCell ref="D5:H5"/>
    <mergeCell ref="A83:C83"/>
    <mergeCell ref="A8:H8"/>
    <mergeCell ref="A9:H9"/>
    <mergeCell ref="H10:I10"/>
    <mergeCell ref="A10:A11"/>
    <mergeCell ref="B10:B11"/>
    <mergeCell ref="C10:C11"/>
    <mergeCell ref="D10:E10"/>
    <mergeCell ref="G10:G11"/>
    <mergeCell ref="A46:A54"/>
    <mergeCell ref="F83:G83"/>
    <mergeCell ref="A84:C84"/>
    <mergeCell ref="D85:J85"/>
    <mergeCell ref="A45:C45"/>
    <mergeCell ref="A55:C55"/>
    <mergeCell ref="A70:C70"/>
    <mergeCell ref="B46:B51"/>
    <mergeCell ref="A62:A66"/>
    <mergeCell ref="B62:B66"/>
    <mergeCell ref="A61:C61"/>
    <mergeCell ref="A59:C59"/>
    <mergeCell ref="A82:C82"/>
    <mergeCell ref="A85:C85"/>
    <mergeCell ref="A71:A73"/>
    <mergeCell ref="B71:B73"/>
    <mergeCell ref="A80:C80"/>
    <mergeCell ref="A81:C81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59" fitToHeight="6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workbookViewId="0">
      <selection activeCell="E17" sqref="E17"/>
    </sheetView>
  </sheetViews>
  <sheetFormatPr defaultColWidth="9.21875" defaultRowHeight="14.4" x14ac:dyDescent="0.3"/>
  <cols>
    <col min="1" max="1" width="5.77734375" style="28" customWidth="1"/>
    <col min="2" max="2" width="46.5546875" style="28" customWidth="1"/>
    <col min="3" max="4" width="15" style="28" hidden="1" customWidth="1"/>
    <col min="5" max="5" width="15" style="27" customWidth="1"/>
    <col min="6" max="6" width="15.77734375" style="28" customWidth="1"/>
    <col min="7" max="7" width="19.77734375" style="28" hidden="1" customWidth="1"/>
    <col min="8" max="8" width="16.21875" style="28" hidden="1" customWidth="1"/>
    <col min="9" max="9" width="13.21875" style="28" bestFit="1" customWidth="1"/>
    <col min="10" max="16384" width="9.21875" style="28"/>
  </cols>
  <sheetData>
    <row r="1" spans="1:9" ht="94.5" customHeight="1" x14ac:dyDescent="0.35">
      <c r="A1" s="228" t="s">
        <v>96</v>
      </c>
      <c r="B1" s="228"/>
      <c r="C1" s="228"/>
      <c r="D1" s="228"/>
      <c r="E1" s="228"/>
      <c r="F1" s="228"/>
      <c r="G1" s="228"/>
      <c r="H1" s="315"/>
      <c r="I1" s="315"/>
    </row>
    <row r="2" spans="1:9" ht="18" x14ac:dyDescent="0.4">
      <c r="A2" s="316"/>
      <c r="B2" s="316"/>
      <c r="C2" s="316"/>
      <c r="D2" s="316"/>
      <c r="E2" s="316"/>
      <c r="F2" s="316"/>
      <c r="G2" s="317"/>
    </row>
    <row r="3" spans="1:9" ht="15.45" hidden="1" x14ac:dyDescent="0.35">
      <c r="A3" s="318" t="s">
        <v>4</v>
      </c>
      <c r="B3" s="193" t="s">
        <v>6</v>
      </c>
      <c r="C3" s="320" t="s">
        <v>77</v>
      </c>
      <c r="D3" s="321"/>
      <c r="E3" s="29"/>
      <c r="F3" s="322" t="s">
        <v>92</v>
      </c>
      <c r="G3" s="322" t="s">
        <v>79</v>
      </c>
      <c r="H3" s="324"/>
      <c r="I3" s="31"/>
    </row>
    <row r="4" spans="1:9" ht="69" customHeight="1" x14ac:dyDescent="0.3">
      <c r="A4" s="319"/>
      <c r="B4" s="199"/>
      <c r="C4" s="33" t="s">
        <v>73</v>
      </c>
      <c r="D4" s="56" t="s">
        <v>69</v>
      </c>
      <c r="E4" s="32" t="s">
        <v>91</v>
      </c>
      <c r="F4" s="323"/>
      <c r="G4" s="33" t="s">
        <v>80</v>
      </c>
      <c r="H4" s="34" t="s">
        <v>69</v>
      </c>
      <c r="I4" s="34" t="s">
        <v>34</v>
      </c>
    </row>
    <row r="5" spans="1:9" ht="46.8" x14ac:dyDescent="0.3">
      <c r="A5" s="62"/>
      <c r="B5" s="57" t="s">
        <v>20</v>
      </c>
      <c r="C5" s="36">
        <v>21743179.129999999</v>
      </c>
      <c r="D5" s="36"/>
      <c r="E5" s="37">
        <f>C5</f>
        <v>21743179.129999999</v>
      </c>
      <c r="F5" s="36">
        <v>-12038150</v>
      </c>
      <c r="G5" s="36"/>
      <c r="H5" s="31"/>
      <c r="I5" s="31">
        <f>E5+F5</f>
        <v>9705029.129999999</v>
      </c>
    </row>
    <row r="6" spans="1:9" ht="15.6" x14ac:dyDescent="0.3">
      <c r="A6" s="62"/>
      <c r="B6" s="57" t="s">
        <v>97</v>
      </c>
      <c r="C6" s="36"/>
      <c r="D6" s="36"/>
      <c r="E6" s="37"/>
      <c r="F6" s="36">
        <v>11415650</v>
      </c>
      <c r="G6" s="36"/>
      <c r="H6" s="31"/>
      <c r="I6" s="31"/>
    </row>
    <row r="7" spans="1:9" ht="15.6" x14ac:dyDescent="0.3">
      <c r="A7" s="62"/>
      <c r="B7" s="57" t="s">
        <v>94</v>
      </c>
      <c r="C7" s="36"/>
      <c r="D7" s="36"/>
      <c r="E7" s="37"/>
      <c r="F7" s="36">
        <v>120000</v>
      </c>
      <c r="G7" s="36"/>
      <c r="H7" s="31"/>
      <c r="I7" s="31"/>
    </row>
    <row r="8" spans="1:9" ht="15.6" x14ac:dyDescent="0.3">
      <c r="A8" s="62"/>
      <c r="B8" s="57" t="s">
        <v>95</v>
      </c>
      <c r="C8" s="36"/>
      <c r="D8" s="36"/>
      <c r="E8" s="37"/>
      <c r="F8" s="36">
        <v>502500</v>
      </c>
      <c r="G8" s="36"/>
      <c r="H8" s="31"/>
      <c r="I8" s="31"/>
    </row>
    <row r="9" spans="1:9" ht="15.6" x14ac:dyDescent="0.3">
      <c r="A9" s="62"/>
      <c r="B9" s="57" t="s">
        <v>34</v>
      </c>
      <c r="C9" s="36"/>
      <c r="D9" s="36"/>
      <c r="E9" s="37"/>
      <c r="F9" s="36">
        <f>F5+F6+F7+F8</f>
        <v>0</v>
      </c>
      <c r="G9" s="36"/>
      <c r="H9" s="31"/>
      <c r="I9" s="31"/>
    </row>
  </sheetData>
  <mergeCells count="7">
    <mergeCell ref="A1:I1"/>
    <mergeCell ref="A2:G2"/>
    <mergeCell ref="A3:A4"/>
    <mergeCell ref="B3:B4"/>
    <mergeCell ref="C3:D3"/>
    <mergeCell ref="F3:F4"/>
    <mergeCell ref="G3:H3"/>
  </mergeCells>
  <pageMargins left="0.70866141732283472" right="0.70866141732283472" top="0.74803149606299213" bottom="0.74803149606299213" header="0.31496062992125984" footer="0.31496062992125984"/>
  <pageSetup paperSize="9" scale="74" fitToHeight="6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прил 1 </vt:lpstr>
      <vt:lpstr>пояснительная</vt:lpstr>
      <vt:lpstr>Лист5</vt:lpstr>
      <vt:lpstr>Лист2</vt:lpstr>
      <vt:lpstr>пояснительная </vt:lpstr>
      <vt:lpstr>прил 1  минис с 1 шк плюс на у)</vt:lpstr>
      <vt:lpstr>Лист3</vt:lpstr>
      <vt:lpstr>пояснительная!_Hlk132293799</vt:lpstr>
      <vt:lpstr>'пояснительная '!_Hlk132293799</vt:lpstr>
      <vt:lpstr>'прил 1 '!_Hlk132293799</vt:lpstr>
      <vt:lpstr>'прил 1  минис с 1 шк плюс на у)'!_Hlk132293799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2024-12-26T10:07:35Z</dcterms:modified>
</cp:coreProperties>
</file>