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35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'!$A$9:$G$143</definedName>
    <definedName name="_xlnm._FilterDatabase" localSheetId="1" hidden="1">'Приложение 2'!$A$11:$F$86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4" l="1"/>
  <c r="G30" i="4" l="1"/>
  <c r="G144" i="4"/>
  <c r="G128" i="4" l="1"/>
  <c r="G138" i="4"/>
  <c r="D57" i="1"/>
  <c r="G88" i="4"/>
  <c r="E65" i="4" l="1"/>
  <c r="E103" i="4"/>
  <c r="E128" i="4" l="1"/>
  <c r="G12" i="4" l="1"/>
  <c r="G64" i="4"/>
  <c r="E64" i="4" s="1"/>
  <c r="G106" i="4"/>
  <c r="G104" i="4"/>
  <c r="E74" i="4"/>
  <c r="G61" i="4"/>
  <c r="E61" i="4" s="1"/>
  <c r="G50" i="4"/>
  <c r="G47" i="4"/>
  <c r="G43" i="4"/>
  <c r="E29" i="4"/>
  <c r="G20" i="4"/>
  <c r="G18" i="4"/>
  <c r="G68" i="4"/>
  <c r="G56" i="4" l="1"/>
  <c r="E56" i="4"/>
  <c r="D33" i="1" l="1"/>
  <c r="D27" i="1"/>
  <c r="G77" i="4"/>
  <c r="G27" i="4"/>
  <c r="E27" i="4" s="1"/>
  <c r="G10" i="4"/>
  <c r="G148" i="4"/>
  <c r="G151" i="4" s="1"/>
  <c r="D54" i="1"/>
  <c r="G111" i="4" l="1"/>
  <c r="E122" i="4"/>
  <c r="G90" i="4"/>
  <c r="E90" i="4" s="1"/>
  <c r="G66" i="4"/>
  <c r="E66" i="4" s="1"/>
  <c r="G70" i="4"/>
  <c r="E69" i="4"/>
  <c r="E63" i="4"/>
  <c r="G123" i="4"/>
  <c r="E76" i="4"/>
  <c r="G72" i="4"/>
  <c r="E62" i="4"/>
  <c r="G37" i="4"/>
  <c r="E37" i="4" s="1"/>
  <c r="C66" i="4"/>
  <c r="E77" i="4"/>
  <c r="G35" i="4"/>
  <c r="E75" i="4" l="1"/>
  <c r="G117" i="4"/>
  <c r="E149" i="4" l="1"/>
  <c r="F146" i="4"/>
  <c r="G146" i="4"/>
  <c r="E145" i="4"/>
  <c r="E121" i="4"/>
  <c r="C121" i="4"/>
  <c r="C123" i="4" s="1"/>
  <c r="E26" i="4" l="1"/>
  <c r="F64" i="1" l="1"/>
  <c r="F68" i="1"/>
  <c r="F151" i="4" l="1"/>
  <c r="G41" i="4" l="1"/>
  <c r="E123" i="4" l="1"/>
  <c r="G136" i="4" l="1"/>
  <c r="E119" i="4"/>
  <c r="G119" i="4"/>
  <c r="E97" i="4"/>
  <c r="G95" i="4"/>
  <c r="E104" i="4"/>
  <c r="G83" i="4"/>
  <c r="D55" i="1" l="1"/>
  <c r="D70" i="1" l="1"/>
  <c r="E77" i="1" l="1"/>
  <c r="F77" i="1"/>
  <c r="D76" i="1"/>
  <c r="D49" i="1" l="1"/>
  <c r="E18" i="4" l="1"/>
  <c r="E17" i="4"/>
  <c r="E20" i="4"/>
  <c r="D62" i="1" l="1"/>
  <c r="D44" i="1"/>
  <c r="D63" i="1" l="1"/>
  <c r="D61" i="1"/>
  <c r="D36" i="1"/>
  <c r="D37" i="1"/>
  <c r="D74" i="1" l="1"/>
  <c r="D13" i="1"/>
  <c r="D29" i="1" l="1"/>
  <c r="D19" i="1"/>
  <c r="F40" i="1" l="1"/>
  <c r="D40" i="1" s="1"/>
  <c r="E95" i="4"/>
  <c r="E88" i="4" l="1"/>
  <c r="G143" i="4"/>
  <c r="E143" i="4" s="1"/>
  <c r="F143" i="4"/>
  <c r="F82" i="4"/>
  <c r="G82" i="4"/>
  <c r="E148" i="4"/>
  <c r="E151" i="4" s="1"/>
  <c r="D26" i="1"/>
  <c r="E111" i="4"/>
  <c r="D32" i="1" l="1"/>
  <c r="D45" i="1"/>
  <c r="D18" i="1"/>
  <c r="D23" i="1"/>
  <c r="D28" i="1"/>
  <c r="D35" i="1"/>
  <c r="D21" i="1"/>
  <c r="D51" i="1"/>
  <c r="D75" i="1"/>
  <c r="D14" i="1"/>
  <c r="D24" i="1"/>
  <c r="D52" i="1"/>
  <c r="E138" i="4" l="1"/>
  <c r="G132" i="4"/>
  <c r="E72" i="4"/>
  <c r="E57" i="4"/>
  <c r="E115" i="4" l="1"/>
  <c r="E144" i="4"/>
  <c r="E146" i="4" s="1"/>
  <c r="E132" i="4"/>
  <c r="G100" i="4"/>
  <c r="E117" i="4"/>
  <c r="E102" i="4"/>
  <c r="E106" i="4"/>
  <c r="G142" i="4"/>
  <c r="E41" i="4" l="1"/>
  <c r="E70" i="4" l="1"/>
  <c r="E68" i="4"/>
  <c r="E55" i="4"/>
  <c r="E53" i="4"/>
  <c r="E50" i="4"/>
  <c r="E47" i="4"/>
  <c r="E46" i="4"/>
  <c r="E45" i="4"/>
  <c r="E43" i="4"/>
  <c r="E39" i="4"/>
  <c r="E82" i="4" s="1"/>
  <c r="E35" i="4"/>
  <c r="E34" i="4"/>
  <c r="E30" i="4"/>
  <c r="E25" i="4"/>
  <c r="E12" i="4"/>
  <c r="E10" i="4"/>
  <c r="G24" i="4" l="1"/>
  <c r="D17" i="1"/>
  <c r="E24" i="4" l="1"/>
  <c r="G81" i="4"/>
  <c r="G153" i="4" l="1"/>
  <c r="F147" i="4"/>
  <c r="G154" i="4" l="1"/>
  <c r="F154" i="4"/>
  <c r="F152" i="4"/>
  <c r="F80" i="4"/>
  <c r="F81" i="4" s="1"/>
  <c r="D58" i="1"/>
  <c r="D20" i="1"/>
  <c r="D34" i="1" l="1"/>
  <c r="D25" i="1"/>
  <c r="D22" i="1"/>
  <c r="D31" i="1"/>
  <c r="E78" i="1"/>
  <c r="E80" i="1"/>
  <c r="E83" i="1"/>
  <c r="E84" i="1"/>
  <c r="E82" i="1"/>
  <c r="E81" i="1"/>
  <c r="E79" i="1"/>
  <c r="D65" i="1"/>
  <c r="D66" i="1"/>
  <c r="D67" i="1"/>
  <c r="D68" i="1"/>
  <c r="D12" i="1"/>
  <c r="E136" i="4" l="1"/>
  <c r="F142" i="4" l="1"/>
  <c r="F153" i="4" s="1"/>
  <c r="E141" i="4"/>
  <c r="E80" i="4"/>
  <c r="E81" i="4" s="1"/>
  <c r="E85" i="1"/>
  <c r="F85" i="1"/>
  <c r="D46" i="1"/>
  <c r="D30" i="1" l="1"/>
  <c r="D38" i="1"/>
  <c r="D39" i="1"/>
  <c r="D41" i="1"/>
  <c r="D42" i="1"/>
  <c r="D43" i="1"/>
  <c r="D47" i="1"/>
  <c r="D48" i="1"/>
  <c r="D50" i="1"/>
  <c r="D53" i="1"/>
  <c r="D56" i="1"/>
  <c r="D59" i="1"/>
  <c r="D60" i="1"/>
  <c r="D64" i="1"/>
  <c r="D69" i="1"/>
  <c r="D71" i="1"/>
  <c r="D72" i="1"/>
  <c r="D73" i="1"/>
  <c r="D77" i="1" l="1"/>
  <c r="E100" i="4"/>
  <c r="E83" i="4"/>
  <c r="E142" i="4" s="1"/>
  <c r="E153" i="4" s="1"/>
  <c r="E154" i="4" l="1"/>
  <c r="D84" i="1"/>
  <c r="D83" i="1"/>
  <c r="D82" i="1"/>
  <c r="D81" i="1"/>
  <c r="D80" i="1"/>
  <c r="D79" i="1"/>
  <c r="D78" i="1"/>
  <c r="D85" i="1" l="1"/>
  <c r="E86" i="1"/>
  <c r="D86" i="1" l="1"/>
  <c r="F86" i="1"/>
</calcChain>
</file>

<file path=xl/sharedStrings.xml><?xml version="1.0" encoding="utf-8"?>
<sst xmlns="http://schemas.openxmlformats.org/spreadsheetml/2006/main" count="363" uniqueCount="231">
  <si>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</si>
  <si>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</si>
  <si>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</si>
  <si>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</si>
  <si>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</si>
  <si>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</si>
  <si>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</si>
  <si>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</si>
  <si>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</si>
  <si>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</si>
  <si>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</si>
  <si>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</si>
  <si>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</si>
  <si>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</si>
  <si>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</si>
  <si>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</si>
  <si>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</si>
  <si>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</si>
  <si>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</si>
  <si>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</si>
  <si>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</si>
  <si>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</si>
  <si>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</si>
  <si>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</si>
  <si>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</si>
  <si>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</si>
  <si>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</si>
  <si>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</si>
  <si>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</si>
  <si>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</si>
  <si>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</si>
  <si>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</si>
  <si>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</si>
  <si>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</si>
  <si>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</si>
  <si>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</si>
  <si>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Дошкольные учреждения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</si>
  <si>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</si>
  <si>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</si>
  <si>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</si>
  <si>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</si>
  <si>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</si>
  <si>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</si>
  <si>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Ремонт кровли СП Детский сад №54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</si>
  <si>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</si>
  <si>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 xml:space="preserve">Ремонт кровли  </t>
  </si>
  <si>
    <t>МАДОУ "Детский сад № 52"</t>
  </si>
  <si>
    <t>Капитальный ремонт здания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</si>
  <si>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</si>
  <si>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</si>
  <si>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</si>
  <si>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</si>
  <si>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</si>
  <si>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</si>
  <si>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</si>
  <si>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</si>
  <si>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</si>
  <si>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</si>
  <si>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</si>
  <si>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</si>
  <si>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</si>
  <si>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МАДОУ "Детский сад комбинированного вида № 36"</t>
  </si>
  <si>
    <t>Монтаж металлической двери</t>
  </si>
  <si>
    <t>МАДОУ "Детский сад № 17"</t>
  </si>
  <si>
    <t>Монтаж системы вентиляции</t>
  </si>
  <si>
    <t>МАДОУ "Детский сад № 5"</t>
  </si>
  <si>
    <t>МАДОУ "Детский сад № 2"</t>
  </si>
  <si>
    <t>Ремонтные работы</t>
  </si>
  <si>
    <t>МАДОУ "Детский сад № 24"</t>
  </si>
  <si>
    <t>Замена дверей</t>
  </si>
  <si>
    <t>МАДОУ "Детский сад № 33"</t>
  </si>
  <si>
    <t>МАДОУ "Детский сад № 38"</t>
  </si>
  <si>
    <t>МАДОУ "Детский сад № 44"</t>
  </si>
  <si>
    <t>МАДОУ "Детский сад № 47"</t>
  </si>
  <si>
    <t>Ремонт санитарного узла</t>
  </si>
  <si>
    <t>Противопожарные мероприятия</t>
  </si>
  <si>
    <t>МАДОУ "Детский сад № 59"</t>
  </si>
  <si>
    <t>МАДОУ "Детский сад № 61"</t>
  </si>
  <si>
    <t>Замена светильников</t>
  </si>
  <si>
    <t>МАДОУ "Детский сад № 62"</t>
  </si>
  <si>
    <t>МАДОУ "Детский сад № 63"</t>
  </si>
  <si>
    <t>МАДОУ "Детский сад № 65"</t>
  </si>
  <si>
    <t>Замена линолеума</t>
  </si>
  <si>
    <t>МАДОУ "Детский сад № 71"</t>
  </si>
  <si>
    <t>МАДОУ "Детский сад № 87"</t>
  </si>
  <si>
    <t>МАДОУ "Детский сад № 209"</t>
  </si>
  <si>
    <t>МАДОУ "Детский сад № 91"</t>
  </si>
  <si>
    <t>МАДОУ "Детский сад комбинированного вида № 33"</t>
  </si>
  <si>
    <t xml:space="preserve">Приобретение материалов для ремонта ограждения </t>
  </si>
  <si>
    <t xml:space="preserve">Монтаж системы контроля доступа </t>
  </si>
  <si>
    <t>МАОУ СОШ № 34</t>
  </si>
  <si>
    <t>МАОУ СОШ № 8</t>
  </si>
  <si>
    <t>МАОУ СОШ № 4</t>
  </si>
  <si>
    <t>Ремонт коридора</t>
  </si>
  <si>
    <t>МАОУ СОШ № 90</t>
  </si>
  <si>
    <t>Замена освещения</t>
  </si>
  <si>
    <t>Установка перегородки</t>
  </si>
  <si>
    <t>МАУ ДО ЦЮТ</t>
  </si>
  <si>
    <t>Приобретение материалов для ремонтных работ</t>
  </si>
  <si>
    <t>МАОУ СОШ № 25</t>
  </si>
  <si>
    <t>Учреждения дополнительного образования</t>
  </si>
  <si>
    <t>МАДОУ "Детский сад № 73"</t>
  </si>
  <si>
    <t>Монтаж притяжной вентиляции</t>
  </si>
  <si>
    <t>МАДОУ "Детский сад № 92"</t>
  </si>
  <si>
    <t>Услуги прохождения государственной экспертизы</t>
  </si>
  <si>
    <t>Аварийный ремонт системы отопления</t>
  </si>
  <si>
    <t>МАДОУ "Детский сад комбинированного вида № 15"</t>
  </si>
  <si>
    <t>Монтаж разделительного забора, в том числе разработка проектно-сметной документации</t>
  </si>
  <si>
    <t>Восстановление работоспособности системы видеонаблюдения</t>
  </si>
  <si>
    <t>Монтаж системы контроля управления доступом</t>
  </si>
  <si>
    <t>МАДОУ "Детский сад № 75"</t>
  </si>
  <si>
    <t>Монтаж дополнительных камер видеонаблюдения</t>
  </si>
  <si>
    <t>МАДОУ "Детский сад комбинированного вида № 38"</t>
  </si>
  <si>
    <t>Восстановление аварийного освещения</t>
  </si>
  <si>
    <t>Монтаж системы контроля доступа</t>
  </si>
  <si>
    <t xml:space="preserve">МАОУ СОШ № 2 </t>
  </si>
  <si>
    <t>Ремонт системы АПС</t>
  </si>
  <si>
    <t>Ремонт системы видеонаблюдения</t>
  </si>
  <si>
    <t>МАОУ СОШ № 21</t>
  </si>
  <si>
    <t>Разработка проектно-сметной документации на капитальный ремонт здания СП ООШ №5</t>
  </si>
  <si>
    <t>Монтаж освещения на фасаде здания</t>
  </si>
  <si>
    <t>Прочие учреждения</t>
  </si>
  <si>
    <t>МАУ ЦООД Горный</t>
  </si>
  <si>
    <t xml:space="preserve">Монтаж системы оповещения </t>
  </si>
  <si>
    <t>МАДОУ "Детский сад № 76"</t>
  </si>
  <si>
    <t>Замена стеклопакетов</t>
  </si>
  <si>
    <t>МАДОУ "Детский сад № 29"</t>
  </si>
  <si>
    <t>МАДОУ "Детский сад комбинированного вида № 5"</t>
  </si>
  <si>
    <t>Ремонт АПС</t>
  </si>
  <si>
    <t>Аварийные работы в системе отопления</t>
  </si>
  <si>
    <t>Аварийный ремонт ХВС</t>
  </si>
  <si>
    <t>МАДОУ "Детский сад комбинированного вида № 137"</t>
  </si>
  <si>
    <t>МАДОУ "Детский сад № 98"</t>
  </si>
  <si>
    <t>Монтаж дополнительных камер видеонаблюдения, дооборудование системы видеонаблюдения</t>
  </si>
  <si>
    <t>монтаж камер системы видеонаблюдения</t>
  </si>
  <si>
    <t>оснащение видеонаблюдением контрольно-пропускного пункта</t>
  </si>
  <si>
    <t>МАДОУ "Детский сад №7"</t>
  </si>
  <si>
    <t>Аварийный ремонт ЛЭП</t>
  </si>
  <si>
    <t>Ремонт кровли</t>
  </si>
  <si>
    <t>Аварийный ремонт канализации</t>
  </si>
  <si>
    <t>Аварийный ремонт  помещений</t>
  </si>
  <si>
    <t>Приобретение краски, монтаж дверей</t>
  </si>
  <si>
    <t>МАДОУ "Детский сад №15"</t>
  </si>
  <si>
    <t>Ремонт кровли, технический надзор за работами, проведение негосударственной экспертизы сметной стоимости работ, осуществление строительного контроля (технического надзора)</t>
  </si>
  <si>
    <t>Монтаж системы пожарной безопасности, рабочий проект ПС и СО,
управления эвакуацией людей при пожаре</t>
  </si>
  <si>
    <t>МАОУ СОШ № 3</t>
  </si>
  <si>
    <t>Ремонт пожарного водопровода</t>
  </si>
  <si>
    <t>Аварийный ремонт</t>
  </si>
  <si>
    <t>МАУ ЦООД "Лесная сказка"</t>
  </si>
  <si>
    <t>Дооборудование системы видеонаблюдения</t>
  </si>
  <si>
    <t>Ремонт ограждения территории</t>
  </si>
  <si>
    <t>Аварийная ситуация на вводе тепловой сети</t>
  </si>
  <si>
    <t>Разработка сметной документации</t>
  </si>
  <si>
    <t>Ремонт сантехнических перегородок</t>
  </si>
  <si>
    <t>Приобретение линолеума</t>
  </si>
  <si>
    <t>Приобретение строительных материалов</t>
  </si>
  <si>
    <t>Ремонтные работы СП ДС №69</t>
  </si>
  <si>
    <t>МАУ ЦООД Лесная сказка</t>
  </si>
  <si>
    <t>Приобретение противопожарной краски</t>
  </si>
  <si>
    <t>Ремонт водонапорной башни, приобретение строительных материалов для ремонта и подготовки лагеря</t>
  </si>
  <si>
    <t>Монтаж ограждения</t>
  </si>
  <si>
    <t>Монтаж перегородок</t>
  </si>
  <si>
    <t>Аварийный ремонт теплотрассы</t>
  </si>
  <si>
    <t>МАОУ СОШ № 36</t>
  </si>
  <si>
    <t>Устройство независимой канализации СП ООШ №№12,19</t>
  </si>
  <si>
    <t>Замена оконных блоков (дополнительные работы)</t>
  </si>
  <si>
    <t>МАУ ДО ДДиЮ</t>
  </si>
  <si>
    <t xml:space="preserve">Ремонт актового зала, в том числе проведение обследования </t>
  </si>
  <si>
    <t>проведение инженерно-геологических изысканий</t>
  </si>
  <si>
    <t>разработка проектна на капитальный ремонт здания</t>
  </si>
  <si>
    <t>Ремонт теплообменника, канализации</t>
  </si>
  <si>
    <t>МАДОУ "Детский сад № 137"</t>
  </si>
  <si>
    <t>монтаж узла учета</t>
  </si>
  <si>
    <t>Приобретение материалов для ремонтных работ монтаж узла учета</t>
  </si>
  <si>
    <t>МАДОУ "Детский сад № 84"</t>
  </si>
  <si>
    <t>МАДОУ "Детский сад № 77"</t>
  </si>
  <si>
    <t>МАДОУ "Детский сад № 143"</t>
  </si>
  <si>
    <t>замена расходомера на обратном трубопроводе</t>
  </si>
  <si>
    <t xml:space="preserve"> монтаж системы водоснабжения и водоотведения в кабинетах врача и процедурном</t>
  </si>
  <si>
    <t>МАДОУ "Детский сад № 80"</t>
  </si>
  <si>
    <t>МАДОУ "Детский сад № 90"</t>
  </si>
  <si>
    <t>Приобретение  и монтаж ворот и калитки</t>
  </si>
  <si>
    <t>МАОУ СОШ № 37</t>
  </si>
  <si>
    <t>Устройство притяжной вентиляции на пищеблоках</t>
  </si>
  <si>
    <t>Устройство временного ограждения</t>
  </si>
  <si>
    <t>МАДОУ "Детский сад № 95"</t>
  </si>
  <si>
    <t>Ремонт помещений "Доброшколы", кабинетов РАС</t>
  </si>
  <si>
    <t>Ремонт системы контроля управления доступом, замена входной двери</t>
  </si>
  <si>
    <t>Замена окон</t>
  </si>
  <si>
    <t>Ремонт ограждения территории (ворота, калитка), монтаж системы СКУД</t>
  </si>
  <si>
    <t>МАДОУ "Детский сад № 34"</t>
  </si>
  <si>
    <t>Замена бойлера</t>
  </si>
  <si>
    <t>Приобретение двери, замена люка</t>
  </si>
  <si>
    <t>Ремнот канализационных стоков</t>
  </si>
  <si>
    <t>Аварийный ремонт потолочного покрытия</t>
  </si>
  <si>
    <t>Замена трубопровода</t>
  </si>
  <si>
    <t>Обследование кровли</t>
  </si>
  <si>
    <t>Аварийный ремонт теплоснабжения, замена стояка в подвальном помещении</t>
  </si>
  <si>
    <t>Аварийный ремонт гидранта</t>
  </si>
  <si>
    <t>Капитальный ремонт подпорный стены (бетон)</t>
  </si>
  <si>
    <t>разработка проектно-сметной документации на капитальный ремонт здания</t>
  </si>
  <si>
    <t>Ремонт СП ООШ №23 (канализация, ремонт помещений, ремонт кровли), в том числе технический надзор и проверка сметной стоимости работ</t>
  </si>
  <si>
    <t>Ремонт подпорной стены</t>
  </si>
  <si>
    <t>МАДОУ "Детский сад № 81"</t>
  </si>
  <si>
    <t>Монтаж узла учета</t>
  </si>
  <si>
    <t>Огнезащитная обработка чердачных помещений</t>
  </si>
  <si>
    <t>МАОУ СОШ № 13</t>
  </si>
  <si>
    <t>Ремонт системы отопления</t>
  </si>
  <si>
    <t>Разработка проекта на капитальный ремонт здания</t>
  </si>
  <si>
    <t>МАДОУ "Детский сад № 82"</t>
  </si>
  <si>
    <t>Ремонт сети энергоснабжения</t>
  </si>
  <si>
    <t>Ремонт теплотрассы</t>
  </si>
  <si>
    <t>Замена водоподогревателя</t>
  </si>
  <si>
    <t>Установка двери, ремонт бойлера</t>
  </si>
  <si>
    <t xml:space="preserve">
</t>
  </si>
  <si>
    <t>Утверждено</t>
  </si>
  <si>
    <t>распоряжением администрации</t>
  </si>
  <si>
    <t>Златоустовского городского округа</t>
  </si>
  <si>
    <t>ПРИЛОЖЕНИЕ 1</t>
  </si>
  <si>
    <t>(рублей)</t>
  </si>
  <si>
    <t>Средства областного и федерального бюджетов</t>
  </si>
  <si>
    <t>Средства бюджета Златоустовского городского округа</t>
  </si>
  <si>
    <t>Ремонт                                                                                                                    и противопожарные мероприятия</t>
  </si>
  <si>
    <t>Субсидия                                                 на проведение капитального ремонта зданий и сооружений муниципальных организаций дошкольного образования</t>
  </si>
  <si>
    <t>Ремонт                                                и противопожарные мероприятия</t>
  </si>
  <si>
    <t>ПРИЛОЖЕНИЕ 2</t>
  </si>
  <si>
    <t>Средства областного бюджета</t>
  </si>
  <si>
    <t>Перечень объектов и видов мероприятий антитеррористической направленности 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</si>
  <si>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Ремонт                                                                   и противопожарные мероприятия</t>
  </si>
  <si>
    <t>Субсидия на замену окон                                          в общеобразовательных организациях</t>
  </si>
  <si>
    <t>от 13.08.2024 г. № 2160-р/АДМ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</si>
</sst>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_(* #,##0.000000000_);_(* \(#,##0.000000000\);_(* &quot;-&quot;??_);_(@_)"/>
    <numFmt numFmtId="166" formatCode="_(* #,##0.0000_);_(* \(#,##0.0000\);_(* &quot;-&quot;??_);_(@_)"/>
    <numFmt numFmtId="167" formatCode="_-* #,##0.0000\ _₽_-;\-* #,##0.0000\ _₽_-;_-* &quot;-&quot;????\ _₽_-;_-@_-"/>
  </numFmts>
  <fonts count="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1" xfId="1" applyFont="1" applyFill="1" applyBorder="1" applyAlignment="1">
      <alignment horizontal="right" vertical="center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164" fontId="2" fillId="2" borderId="0" xfId="1" applyFont="1" applyFill="1" applyAlignment="1">
      <alignment horizontal="center" wrapText="1" shrinkToFit="1"/>
    </xf>
    <xf numFmtId="0" fontId="2" fillId="2" borderId="0" xfId="0" applyFont="1" applyFill="1" applyAlignment="1">
      <alignment horizontal="left" wrapText="1" shrinkToFit="1"/>
    </xf>
    <xf numFmtId="0" fontId="0" fillId="2" borderId="0" xfId="0" applyFill="1" applyAlignment="1">
      <alignment horizontal="left" wrapText="1" shrinkToFit="1"/>
    </xf>
    <xf numFmtId="0" fontId="2" fillId="2" borderId="1" xfId="0" applyFont="1" applyFill="1" applyBorder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43" fontId="0" fillId="2" borderId="0" xfId="0" applyNumberFormat="1" applyFill="1"/>
    <xf numFmtId="43" fontId="2" fillId="2" borderId="0" xfId="0" applyNumberFormat="1" applyFont="1" applyFill="1"/>
    <xf numFmtId="166" fontId="2" fillId="2" borderId="0" xfId="1" applyNumberFormat="1" applyFont="1" applyFill="1"/>
    <xf numFmtId="167" fontId="2" fillId="2" borderId="0" xfId="0" applyNumberFormat="1" applyFont="1" applyFill="1"/>
    <xf numFmtId="164" fontId="2" fillId="2" borderId="0" xfId="1" applyFont="1" applyFill="1"/>
    <xf numFmtId="164" fontId="0" fillId="2" borderId="0" xfId="0" applyNumberFormat="1" applyFill="1"/>
    <xf numFmtId="0" fontId="7" fillId="2" borderId="0" xfId="0" applyFont="1" applyFill="1"/>
    <xf numFmtId="164" fontId="2" fillId="2" borderId="0" xfId="1" applyFont="1" applyFill="1" applyAlignment="1">
      <alignment horizontal="right" wrapText="1" shrinkToFit="1"/>
    </xf>
    <xf numFmtId="164" fontId="2" fillId="2" borderId="1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3" fillId="2" borderId="0" xfId="1" applyFont="1" applyFill="1" applyAlignment="1">
      <alignment wrapText="1" shrinkToFit="1"/>
    </xf>
    <xf numFmtId="0" fontId="3" fillId="0" borderId="0" xfId="0" applyFont="1" applyAlignment="1">
      <alignment horizontal="center" vertical="center"/>
    </xf>
    <xf numFmtId="164" fontId="2" fillId="2" borderId="1" xfId="1" applyFont="1" applyFill="1" applyBorder="1" applyAlignment="1">
      <alignment vertical="center" wrapText="1" shrinkToFit="1"/>
    </xf>
    <xf numFmtId="4" fontId="2" fillId="2" borderId="1" xfId="0" applyNumberFormat="1" applyFont="1" applyFill="1" applyBorder="1" applyAlignment="1">
      <alignment horizontal="right"/>
    </xf>
    <xf numFmtId="164" fontId="3" fillId="2" borderId="0" xfId="1" applyFont="1" applyFill="1" applyAlignment="1">
      <alignment horizontal="right" wrapText="1" shrinkToFit="1"/>
    </xf>
    <xf numFmtId="0" fontId="2" fillId="2" borderId="0" xfId="0" applyFont="1" applyFill="1" applyAlignment="1">
      <alignment horizontal="right" wrapText="1" shrinkToFit="1"/>
    </xf>
    <xf numFmtId="4" fontId="2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1" xfId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 shrinkToFit="1"/>
    </xf>
    <xf numFmtId="164" fontId="4" fillId="2" borderId="1" xfId="1" applyFont="1" applyFill="1" applyBorder="1" applyAlignment="1">
      <alignment horizontal="right" vertical="center" wrapText="1" shrinkToFit="1"/>
    </xf>
    <xf numFmtId="164" fontId="4" fillId="2" borderId="1" xfId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4" fontId="2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wrapText="1" shrinkToFit="1"/>
    </xf>
    <xf numFmtId="164" fontId="3" fillId="2" borderId="0" xfId="1" applyFont="1" applyFill="1" applyAlignment="1">
      <alignment horizontal="right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zoomScale="90" zoomScaleNormal="90" workbookViewId="0">
      <selection activeCell="I6" sqref="I6"/>
    </sheetView>
  </sheetViews>
  <sheetFormatPr defaultColWidth="9.140625" defaultRowHeight="12.75" x14ac:dyDescent="0.2"/>
  <cols>
    <col min="1" max="1" width="15.5703125" style="6" customWidth="1"/>
    <col min="2" max="2" width="25.28515625" style="7" customWidth="1"/>
    <col min="3" max="3" width="34.85546875" style="16" customWidth="1"/>
    <col min="4" max="4" width="21.140625" style="8" customWidth="1"/>
    <col min="5" max="5" width="16" style="12" customWidth="1"/>
    <col min="6" max="6" width="17.5703125" style="12" customWidth="1"/>
    <col min="7" max="7" width="20.7109375" style="13" customWidth="1"/>
    <col min="8" max="8" width="16.28515625" style="7" customWidth="1"/>
    <col min="9" max="9" width="16.42578125" style="7" bestFit="1" customWidth="1"/>
    <col min="10" max="10" width="16.85546875" style="7" customWidth="1"/>
    <col min="11" max="16384" width="9.140625" style="7"/>
  </cols>
  <sheetData>
    <row r="1" spans="1:9" ht="21.75" customHeight="1" x14ac:dyDescent="0.3">
      <c r="D1" s="40" t="s">
        <v>214</v>
      </c>
      <c r="E1" s="40"/>
      <c r="F1" s="41" t="s">
        <v>218</v>
      </c>
      <c r="G1" s="40"/>
    </row>
    <row r="2" spans="1:9" ht="17.25" customHeight="1" x14ac:dyDescent="0.3">
      <c r="D2" s="40"/>
      <c r="E2" s="40"/>
      <c r="F2" s="41" t="s">
        <v>215</v>
      </c>
      <c r="G2" s="40"/>
    </row>
    <row r="3" spans="1:9" ht="15.75" customHeight="1" x14ac:dyDescent="0.3">
      <c r="D3" s="40"/>
      <c r="E3" s="40"/>
      <c r="F3" s="41" t="s">
        <v>216</v>
      </c>
      <c r="G3" s="40"/>
    </row>
    <row r="4" spans="1:9" ht="19.5" customHeight="1" x14ac:dyDescent="0.3">
      <c r="D4" s="40"/>
      <c r="E4" s="40"/>
      <c r="F4" s="41" t="s">
        <v>217</v>
      </c>
      <c r="G4" s="40"/>
    </row>
    <row r="5" spans="1:9" ht="23.25" customHeight="1" x14ac:dyDescent="0.3">
      <c r="D5" s="40"/>
      <c r="E5" s="40"/>
      <c r="F5" s="41" t="s">
        <v>230</v>
      </c>
      <c r="G5" s="40"/>
    </row>
    <row r="6" spans="1:9" ht="72" customHeight="1" x14ac:dyDescent="0.2">
      <c r="A6" s="64" t="s">
        <v>44</v>
      </c>
      <c r="B6" s="64"/>
      <c r="C6" s="64"/>
      <c r="D6" s="64"/>
      <c r="E6" s="64"/>
      <c r="F6" s="64"/>
      <c r="G6" s="64"/>
    </row>
    <row r="7" spans="1:9" s="3" customFormat="1" x14ac:dyDescent="0.2">
      <c r="A7" s="9"/>
      <c r="C7" s="15"/>
      <c r="D7" s="4"/>
      <c r="E7" s="14"/>
      <c r="F7" s="5"/>
      <c r="G7" s="10" t="s">
        <v>219</v>
      </c>
      <c r="H7" s="7"/>
      <c r="I7" s="7"/>
    </row>
    <row r="8" spans="1:9" s="3" customFormat="1" x14ac:dyDescent="0.2">
      <c r="A8" s="56" t="s">
        <v>35</v>
      </c>
      <c r="B8" s="56" t="s">
        <v>0</v>
      </c>
      <c r="C8" s="56" t="s">
        <v>1</v>
      </c>
      <c r="D8" s="56" t="s">
        <v>2</v>
      </c>
      <c r="E8" s="49" t="s">
        <v>41</v>
      </c>
      <c r="F8" s="49" t="s">
        <v>4</v>
      </c>
      <c r="G8" s="49"/>
      <c r="H8" s="7"/>
      <c r="I8" s="7"/>
    </row>
    <row r="9" spans="1:9" s="3" customFormat="1" ht="60" customHeight="1" x14ac:dyDescent="0.2">
      <c r="A9" s="56"/>
      <c r="B9" s="56"/>
      <c r="C9" s="56"/>
      <c r="D9" s="56"/>
      <c r="E9" s="49"/>
      <c r="F9" s="33" t="s">
        <v>220</v>
      </c>
      <c r="G9" s="33" t="s">
        <v>221</v>
      </c>
      <c r="H9" s="7"/>
      <c r="I9" s="7"/>
    </row>
    <row r="10" spans="1:9" s="3" customFormat="1" ht="12.75" customHeight="1" x14ac:dyDescent="0.2">
      <c r="A10" s="56" t="s">
        <v>36</v>
      </c>
      <c r="B10" s="50" t="s">
        <v>66</v>
      </c>
      <c r="C10" s="35" t="s">
        <v>67</v>
      </c>
      <c r="D10" s="56" t="s">
        <v>228</v>
      </c>
      <c r="E10" s="49">
        <f>F10+G10</f>
        <v>2839099.9990000003</v>
      </c>
      <c r="F10" s="49"/>
      <c r="G10" s="48">
        <f>84660+2696735+2696735*0.0214-5.13</f>
        <v>2839099.9990000003</v>
      </c>
      <c r="H10" s="7"/>
      <c r="I10" s="7"/>
    </row>
    <row r="11" spans="1:9" s="3" customFormat="1" x14ac:dyDescent="0.2">
      <c r="A11" s="56"/>
      <c r="B11" s="50"/>
      <c r="C11" s="35" t="s">
        <v>138</v>
      </c>
      <c r="D11" s="56"/>
      <c r="E11" s="49"/>
      <c r="F11" s="49"/>
      <c r="G11" s="48"/>
      <c r="H11" s="7"/>
      <c r="I11" s="7"/>
    </row>
    <row r="12" spans="1:9" s="3" customFormat="1" x14ac:dyDescent="0.2">
      <c r="A12" s="56"/>
      <c r="B12" s="50" t="s">
        <v>65</v>
      </c>
      <c r="C12" s="35" t="s">
        <v>48</v>
      </c>
      <c r="D12" s="56"/>
      <c r="E12" s="49">
        <f t="shared" ref="E12:E76" si="0">F12+G12</f>
        <v>4797377.4399999995</v>
      </c>
      <c r="F12" s="49"/>
      <c r="G12" s="48">
        <f>67390+2124000+13731.44+30000+30400+2515956+15900</f>
        <v>4797377.4399999995</v>
      </c>
      <c r="H12" s="7"/>
      <c r="I12" s="7"/>
    </row>
    <row r="13" spans="1:9" s="3" customFormat="1" ht="25.5" x14ac:dyDescent="0.2">
      <c r="A13" s="56"/>
      <c r="B13" s="50"/>
      <c r="C13" s="39" t="s">
        <v>169</v>
      </c>
      <c r="D13" s="56"/>
      <c r="E13" s="49"/>
      <c r="F13" s="49"/>
      <c r="G13" s="48"/>
      <c r="H13" s="7"/>
      <c r="I13" s="7"/>
    </row>
    <row r="14" spans="1:9" s="3" customFormat="1" x14ac:dyDescent="0.2">
      <c r="A14" s="56"/>
      <c r="B14" s="50"/>
      <c r="C14" s="39" t="s">
        <v>128</v>
      </c>
      <c r="D14" s="56"/>
      <c r="E14" s="49"/>
      <c r="F14" s="49"/>
      <c r="G14" s="48"/>
      <c r="H14" s="7"/>
      <c r="I14" s="7"/>
    </row>
    <row r="15" spans="1:9" s="3" customFormat="1" x14ac:dyDescent="0.2">
      <c r="A15" s="56"/>
      <c r="B15" s="50"/>
      <c r="C15" s="39" t="s">
        <v>193</v>
      </c>
      <c r="D15" s="56"/>
      <c r="E15" s="49"/>
      <c r="F15" s="49"/>
      <c r="G15" s="48"/>
      <c r="H15" s="7"/>
      <c r="I15" s="7"/>
    </row>
    <row r="16" spans="1:9" s="3" customFormat="1" x14ac:dyDescent="0.2">
      <c r="A16" s="56"/>
      <c r="B16" s="50"/>
      <c r="C16" s="35" t="s">
        <v>170</v>
      </c>
      <c r="D16" s="56"/>
      <c r="E16" s="49"/>
      <c r="F16" s="49"/>
      <c r="G16" s="48"/>
      <c r="H16" s="7"/>
      <c r="I16" s="7"/>
    </row>
    <row r="17" spans="1:9" s="3" customFormat="1" x14ac:dyDescent="0.2">
      <c r="A17" s="56"/>
      <c r="B17" s="39" t="s">
        <v>136</v>
      </c>
      <c r="C17" s="35" t="s">
        <v>130</v>
      </c>
      <c r="D17" s="56"/>
      <c r="E17" s="33">
        <f t="shared" si="0"/>
        <v>106012.57</v>
      </c>
      <c r="F17" s="33"/>
      <c r="G17" s="37">
        <v>106012.57</v>
      </c>
      <c r="H17" s="7"/>
      <c r="I17" s="7"/>
    </row>
    <row r="18" spans="1:9" s="3" customFormat="1" x14ac:dyDescent="0.2">
      <c r="A18" s="56"/>
      <c r="B18" s="39" t="s">
        <v>142</v>
      </c>
      <c r="C18" s="35" t="s">
        <v>48</v>
      </c>
      <c r="D18" s="56"/>
      <c r="E18" s="49">
        <f t="shared" si="0"/>
        <v>837330</v>
      </c>
      <c r="F18" s="49"/>
      <c r="G18" s="48">
        <f>542110+295220</f>
        <v>837330</v>
      </c>
      <c r="H18" s="7"/>
      <c r="I18" s="7"/>
    </row>
    <row r="19" spans="1:9" s="3" customFormat="1" x14ac:dyDescent="0.2">
      <c r="A19" s="56"/>
      <c r="B19" s="39"/>
      <c r="C19" s="35" t="s">
        <v>105</v>
      </c>
      <c r="D19" s="56"/>
      <c r="E19" s="49"/>
      <c r="F19" s="49"/>
      <c r="G19" s="48"/>
      <c r="H19" s="7"/>
      <c r="I19" s="7"/>
    </row>
    <row r="20" spans="1:9" s="3" customFormat="1" x14ac:dyDescent="0.2">
      <c r="A20" s="56"/>
      <c r="B20" s="50" t="s">
        <v>63</v>
      </c>
      <c r="C20" s="35" t="s">
        <v>64</v>
      </c>
      <c r="D20" s="56"/>
      <c r="E20" s="49">
        <f t="shared" si="0"/>
        <v>2462909.6100000003</v>
      </c>
      <c r="F20" s="49"/>
      <c r="G20" s="48">
        <f>2160173.64+302735.97</f>
        <v>2462909.6100000003</v>
      </c>
      <c r="H20" s="7"/>
      <c r="I20" s="7"/>
    </row>
    <row r="21" spans="1:9" s="3" customFormat="1" x14ac:dyDescent="0.2">
      <c r="A21" s="56"/>
      <c r="B21" s="50"/>
      <c r="C21" s="35" t="s">
        <v>138</v>
      </c>
      <c r="D21" s="56"/>
      <c r="E21" s="49"/>
      <c r="F21" s="49"/>
      <c r="G21" s="48"/>
      <c r="H21" s="7"/>
      <c r="I21" s="7"/>
    </row>
    <row r="22" spans="1:9" s="3" customFormat="1" x14ac:dyDescent="0.2">
      <c r="A22" s="56"/>
      <c r="B22" s="50"/>
      <c r="C22" s="35" t="s">
        <v>188</v>
      </c>
      <c r="D22" s="56"/>
      <c r="E22" s="49"/>
      <c r="F22" s="49"/>
      <c r="G22" s="48"/>
      <c r="H22" s="7"/>
      <c r="I22" s="7"/>
    </row>
    <row r="23" spans="1:9" s="3" customFormat="1" x14ac:dyDescent="0.2">
      <c r="A23" s="56"/>
      <c r="B23" s="50"/>
      <c r="C23" s="35" t="s">
        <v>140</v>
      </c>
      <c r="D23" s="56"/>
      <c r="E23" s="49"/>
      <c r="F23" s="49"/>
      <c r="G23" s="48"/>
      <c r="H23" s="29"/>
      <c r="I23" s="7"/>
    </row>
    <row r="24" spans="1:9" s="3" customFormat="1" x14ac:dyDescent="0.2">
      <c r="A24" s="56"/>
      <c r="B24" s="50" t="s">
        <v>68</v>
      </c>
      <c r="C24" s="35" t="s">
        <v>48</v>
      </c>
      <c r="D24" s="56"/>
      <c r="E24" s="49">
        <f t="shared" si="0"/>
        <v>200454</v>
      </c>
      <c r="F24" s="49"/>
      <c r="G24" s="48">
        <f>90000+110454</f>
        <v>200454</v>
      </c>
      <c r="H24" s="7"/>
      <c r="I24" s="7"/>
    </row>
    <row r="25" spans="1:9" s="3" customFormat="1" x14ac:dyDescent="0.2">
      <c r="A25" s="56"/>
      <c r="B25" s="50"/>
      <c r="C25" s="35" t="s">
        <v>69</v>
      </c>
      <c r="D25" s="56"/>
      <c r="E25" s="49">
        <f t="shared" si="0"/>
        <v>0</v>
      </c>
      <c r="F25" s="49"/>
      <c r="G25" s="48"/>
      <c r="H25" s="7"/>
      <c r="I25" s="7"/>
    </row>
    <row r="26" spans="1:9" s="3" customFormat="1" x14ac:dyDescent="0.2">
      <c r="A26" s="56"/>
      <c r="B26" s="39" t="s">
        <v>126</v>
      </c>
      <c r="C26" s="35" t="s">
        <v>138</v>
      </c>
      <c r="D26" s="56"/>
      <c r="E26" s="33">
        <f t="shared" si="0"/>
        <v>413713.19</v>
      </c>
      <c r="F26" s="33"/>
      <c r="G26" s="37">
        <v>413713.19</v>
      </c>
      <c r="H26" s="7"/>
      <c r="I26" s="7"/>
    </row>
    <row r="27" spans="1:9" s="3" customFormat="1" x14ac:dyDescent="0.2">
      <c r="A27" s="56"/>
      <c r="B27" s="50" t="s">
        <v>70</v>
      </c>
      <c r="C27" s="35" t="s">
        <v>48</v>
      </c>
      <c r="D27" s="56"/>
      <c r="E27" s="49">
        <f>G27</f>
        <v>7524500.0002000006</v>
      </c>
      <c r="F27" s="49"/>
      <c r="G27" s="48">
        <f>7290643+77904.95+7290643*0.0214-67.71</f>
        <v>7524500.0002000006</v>
      </c>
      <c r="H27" s="7"/>
      <c r="I27" s="7"/>
    </row>
    <row r="28" spans="1:9" s="3" customFormat="1" x14ac:dyDescent="0.2">
      <c r="A28" s="56"/>
      <c r="B28" s="50"/>
      <c r="C28" s="35" t="s">
        <v>138</v>
      </c>
      <c r="D28" s="56"/>
      <c r="E28" s="49"/>
      <c r="F28" s="49"/>
      <c r="G28" s="48"/>
      <c r="H28" s="7"/>
      <c r="I28" s="7"/>
    </row>
    <row r="29" spans="1:9" s="3" customFormat="1" x14ac:dyDescent="0.2">
      <c r="A29" s="56"/>
      <c r="B29" s="39" t="s">
        <v>190</v>
      </c>
      <c r="C29" s="35" t="s">
        <v>191</v>
      </c>
      <c r="D29" s="56"/>
      <c r="E29" s="33">
        <f>G29</f>
        <v>398241.26</v>
      </c>
      <c r="F29" s="33"/>
      <c r="G29" s="37">
        <v>398241.26</v>
      </c>
      <c r="H29" s="7"/>
      <c r="I29" s="7"/>
    </row>
    <row r="30" spans="1:9" s="3" customFormat="1" x14ac:dyDescent="0.2">
      <c r="A30" s="56"/>
      <c r="B30" s="60" t="s">
        <v>71</v>
      </c>
      <c r="C30" s="35" t="s">
        <v>48</v>
      </c>
      <c r="D30" s="56"/>
      <c r="E30" s="49">
        <f t="shared" si="0"/>
        <v>7037060</v>
      </c>
      <c r="F30" s="48"/>
      <c r="G30" s="48">
        <f>110000+304500+20000+2214000+4388560</f>
        <v>7037060</v>
      </c>
      <c r="H30" s="7"/>
      <c r="I30" s="7"/>
    </row>
    <row r="31" spans="1:9" s="3" customFormat="1" x14ac:dyDescent="0.2">
      <c r="A31" s="56"/>
      <c r="B31" s="60"/>
      <c r="C31" s="35" t="s">
        <v>172</v>
      </c>
      <c r="D31" s="56"/>
      <c r="E31" s="49"/>
      <c r="F31" s="48"/>
      <c r="G31" s="48"/>
      <c r="H31" s="7"/>
      <c r="I31" s="7"/>
    </row>
    <row r="32" spans="1:9" s="3" customFormat="1" ht="25.5" x14ac:dyDescent="0.2">
      <c r="A32" s="56"/>
      <c r="B32" s="60"/>
      <c r="C32" s="35" t="s">
        <v>208</v>
      </c>
      <c r="D32" s="56"/>
      <c r="E32" s="49"/>
      <c r="F32" s="48"/>
      <c r="G32" s="48"/>
      <c r="H32" s="7"/>
      <c r="I32" s="7"/>
    </row>
    <row r="33" spans="1:9" s="3" customFormat="1" x14ac:dyDescent="0.2">
      <c r="A33" s="56"/>
      <c r="B33" s="60"/>
      <c r="C33" s="35" t="s">
        <v>138</v>
      </c>
      <c r="D33" s="56"/>
      <c r="E33" s="49"/>
      <c r="F33" s="48"/>
      <c r="G33" s="48"/>
      <c r="H33" s="7"/>
      <c r="I33" s="7"/>
    </row>
    <row r="34" spans="1:9" s="3" customFormat="1" x14ac:dyDescent="0.2">
      <c r="A34" s="56"/>
      <c r="B34" s="60"/>
      <c r="C34" s="35" t="s">
        <v>192</v>
      </c>
      <c r="D34" s="56"/>
      <c r="E34" s="49">
        <f t="shared" si="0"/>
        <v>0</v>
      </c>
      <c r="F34" s="48"/>
      <c r="G34" s="48"/>
      <c r="H34" s="7"/>
      <c r="I34" s="7"/>
    </row>
    <row r="35" spans="1:9" s="3" customFormat="1" x14ac:dyDescent="0.2">
      <c r="A35" s="56"/>
      <c r="B35" s="50" t="s">
        <v>72</v>
      </c>
      <c r="C35" s="35" t="s">
        <v>48</v>
      </c>
      <c r="D35" s="56"/>
      <c r="E35" s="49">
        <f t="shared" si="0"/>
        <v>528669.09000000008</v>
      </c>
      <c r="F35" s="49"/>
      <c r="G35" s="48">
        <f>182100+346569.09</f>
        <v>528669.09000000008</v>
      </c>
      <c r="H35" s="7"/>
      <c r="I35" s="7"/>
    </row>
    <row r="36" spans="1:9" s="3" customFormat="1" x14ac:dyDescent="0.2">
      <c r="A36" s="56"/>
      <c r="B36" s="50"/>
      <c r="C36" s="35" t="s">
        <v>172</v>
      </c>
      <c r="D36" s="56"/>
      <c r="E36" s="49"/>
      <c r="F36" s="49"/>
      <c r="G36" s="48"/>
      <c r="H36" s="7"/>
      <c r="I36" s="7"/>
    </row>
    <row r="37" spans="1:9" s="3" customFormat="1" x14ac:dyDescent="0.2">
      <c r="A37" s="56"/>
      <c r="B37" s="50" t="s">
        <v>73</v>
      </c>
      <c r="C37" s="35" t="s">
        <v>172</v>
      </c>
      <c r="D37" s="56"/>
      <c r="E37" s="49">
        <f>G37</f>
        <v>724002.28</v>
      </c>
      <c r="F37" s="49"/>
      <c r="G37" s="48">
        <f>395055.92+328946.36</f>
        <v>724002.28</v>
      </c>
      <c r="H37" s="7"/>
      <c r="I37" s="7"/>
    </row>
    <row r="38" spans="1:9" s="3" customFormat="1" ht="18.75" customHeight="1" x14ac:dyDescent="0.2">
      <c r="A38" s="56"/>
      <c r="B38" s="50"/>
      <c r="C38" s="35" t="s">
        <v>74</v>
      </c>
      <c r="D38" s="56"/>
      <c r="E38" s="49"/>
      <c r="F38" s="49"/>
      <c r="G38" s="48"/>
      <c r="H38" s="7"/>
      <c r="I38" s="7"/>
    </row>
    <row r="39" spans="1:9" s="3" customFormat="1" x14ac:dyDescent="0.2">
      <c r="A39" s="56"/>
      <c r="B39" s="60" t="s">
        <v>46</v>
      </c>
      <c r="C39" s="35" t="s">
        <v>75</v>
      </c>
      <c r="D39" s="56"/>
      <c r="E39" s="49">
        <f t="shared" si="0"/>
        <v>207200</v>
      </c>
      <c r="F39" s="49"/>
      <c r="G39" s="48">
        <v>207200</v>
      </c>
      <c r="H39" s="7"/>
      <c r="I39" s="7"/>
    </row>
    <row r="40" spans="1:9" s="3" customFormat="1" ht="25.5" x14ac:dyDescent="0.2">
      <c r="A40" s="56"/>
      <c r="B40" s="60"/>
      <c r="C40" s="35" t="s">
        <v>165</v>
      </c>
      <c r="D40" s="56"/>
      <c r="E40" s="49"/>
      <c r="F40" s="49"/>
      <c r="G40" s="48"/>
      <c r="H40" s="7"/>
      <c r="I40" s="7"/>
    </row>
    <row r="41" spans="1:9" s="3" customFormat="1" x14ac:dyDescent="0.2">
      <c r="A41" s="56"/>
      <c r="B41" s="60" t="s">
        <v>37</v>
      </c>
      <c r="C41" s="35" t="s">
        <v>43</v>
      </c>
      <c r="D41" s="56"/>
      <c r="E41" s="63">
        <f>F41+G41</f>
        <v>4106050</v>
      </c>
      <c r="F41" s="62"/>
      <c r="G41" s="62">
        <f>4026050+80000</f>
        <v>4106050</v>
      </c>
      <c r="H41" s="7"/>
      <c r="I41" s="7"/>
    </row>
    <row r="42" spans="1:9" s="3" customFormat="1" x14ac:dyDescent="0.2">
      <c r="A42" s="56"/>
      <c r="B42" s="60"/>
      <c r="C42" s="35" t="s">
        <v>48</v>
      </c>
      <c r="D42" s="56"/>
      <c r="E42" s="63"/>
      <c r="F42" s="62"/>
      <c r="G42" s="62"/>
      <c r="H42" s="7"/>
      <c r="I42" s="7"/>
    </row>
    <row r="43" spans="1:9" s="3" customFormat="1" ht="12.75" customHeight="1" x14ac:dyDescent="0.2">
      <c r="A43" s="56"/>
      <c r="B43" s="50" t="s">
        <v>76</v>
      </c>
      <c r="C43" s="35" t="s">
        <v>96</v>
      </c>
      <c r="D43" s="56"/>
      <c r="E43" s="49">
        <f t="shared" si="0"/>
        <v>378021</v>
      </c>
      <c r="F43" s="49"/>
      <c r="G43" s="48">
        <f>78640+299381</f>
        <v>378021</v>
      </c>
      <c r="H43" s="7"/>
      <c r="I43" s="7"/>
    </row>
    <row r="44" spans="1:9" s="3" customFormat="1" ht="12.75" customHeight="1" x14ac:dyDescent="0.2">
      <c r="A44" s="56"/>
      <c r="B44" s="50"/>
      <c r="C44" s="35" t="s">
        <v>194</v>
      </c>
      <c r="D44" s="56"/>
      <c r="E44" s="49"/>
      <c r="F44" s="49"/>
      <c r="G44" s="48"/>
      <c r="H44" s="7"/>
      <c r="I44" s="7"/>
    </row>
    <row r="45" spans="1:9" s="3" customFormat="1" x14ac:dyDescent="0.2">
      <c r="A45" s="56"/>
      <c r="B45" s="50" t="s">
        <v>77</v>
      </c>
      <c r="C45" s="35" t="s">
        <v>48</v>
      </c>
      <c r="D45" s="56"/>
      <c r="E45" s="49">
        <f t="shared" si="0"/>
        <v>121698.77</v>
      </c>
      <c r="F45" s="48"/>
      <c r="G45" s="48">
        <v>121698.77</v>
      </c>
      <c r="H45" s="7"/>
      <c r="I45" s="7"/>
    </row>
    <row r="46" spans="1:9" s="3" customFormat="1" x14ac:dyDescent="0.2">
      <c r="A46" s="56"/>
      <c r="B46" s="50"/>
      <c r="C46" s="35" t="s">
        <v>78</v>
      </c>
      <c r="D46" s="56"/>
      <c r="E46" s="49">
        <f t="shared" si="0"/>
        <v>0</v>
      </c>
      <c r="F46" s="48"/>
      <c r="G46" s="48"/>
      <c r="H46" s="7"/>
      <c r="I46" s="7"/>
    </row>
    <row r="47" spans="1:9" s="3" customFormat="1" x14ac:dyDescent="0.2">
      <c r="A47" s="56"/>
      <c r="B47" s="50" t="s">
        <v>79</v>
      </c>
      <c r="C47" s="35" t="s">
        <v>48</v>
      </c>
      <c r="D47" s="56"/>
      <c r="E47" s="49">
        <f t="shared" si="0"/>
        <v>1328935.69</v>
      </c>
      <c r="F47" s="49"/>
      <c r="G47" s="48">
        <f>113700+442888.36+772347.33</f>
        <v>1328935.69</v>
      </c>
      <c r="H47" s="7"/>
      <c r="I47" s="7"/>
    </row>
    <row r="48" spans="1:9" s="3" customFormat="1" x14ac:dyDescent="0.2">
      <c r="A48" s="56"/>
      <c r="B48" s="50"/>
      <c r="C48" s="35" t="s">
        <v>195</v>
      </c>
      <c r="D48" s="56"/>
      <c r="E48" s="49"/>
      <c r="F48" s="49"/>
      <c r="G48" s="48"/>
      <c r="H48" s="7"/>
      <c r="I48" s="7"/>
    </row>
    <row r="49" spans="1:9" s="3" customFormat="1" x14ac:dyDescent="0.2">
      <c r="A49" s="56"/>
      <c r="B49" s="50"/>
      <c r="C49" s="35" t="s">
        <v>204</v>
      </c>
      <c r="D49" s="56"/>
      <c r="E49" s="49"/>
      <c r="F49" s="49"/>
      <c r="G49" s="48"/>
      <c r="H49" s="7"/>
      <c r="I49" s="7"/>
    </row>
    <row r="50" spans="1:9" s="3" customFormat="1" x14ac:dyDescent="0.2">
      <c r="A50" s="56"/>
      <c r="B50" s="50" t="s">
        <v>80</v>
      </c>
      <c r="C50" s="35" t="s">
        <v>69</v>
      </c>
      <c r="D50" s="56"/>
      <c r="E50" s="49">
        <f t="shared" si="0"/>
        <v>465720.49</v>
      </c>
      <c r="F50" s="49"/>
      <c r="G50" s="48">
        <f>168000+297720.49</f>
        <v>465720.49</v>
      </c>
      <c r="H50" s="7"/>
      <c r="I50" s="7"/>
    </row>
    <row r="51" spans="1:9" s="3" customFormat="1" x14ac:dyDescent="0.2">
      <c r="A51" s="56"/>
      <c r="B51" s="50"/>
      <c r="C51" s="35" t="s">
        <v>196</v>
      </c>
      <c r="D51" s="56"/>
      <c r="E51" s="49"/>
      <c r="F51" s="49"/>
      <c r="G51" s="48"/>
      <c r="H51" s="7"/>
      <c r="I51" s="7"/>
    </row>
    <row r="52" spans="1:9" s="3" customFormat="1" x14ac:dyDescent="0.2">
      <c r="A52" s="56"/>
      <c r="B52" s="50"/>
      <c r="C52" s="35" t="s">
        <v>137</v>
      </c>
      <c r="D52" s="56"/>
      <c r="E52" s="49"/>
      <c r="F52" s="49"/>
      <c r="G52" s="48"/>
      <c r="H52" s="7"/>
      <c r="I52" s="7"/>
    </row>
    <row r="53" spans="1:9" s="3" customFormat="1" x14ac:dyDescent="0.2">
      <c r="A53" s="56"/>
      <c r="B53" s="50" t="s">
        <v>81</v>
      </c>
      <c r="C53" s="35" t="s">
        <v>69</v>
      </c>
      <c r="D53" s="56"/>
      <c r="E53" s="49">
        <f t="shared" si="0"/>
        <v>117000</v>
      </c>
      <c r="F53" s="48"/>
      <c r="G53" s="48">
        <v>117000</v>
      </c>
      <c r="H53" s="7"/>
      <c r="I53" s="7"/>
    </row>
    <row r="54" spans="1:9" s="3" customFormat="1" x14ac:dyDescent="0.2">
      <c r="A54" s="56"/>
      <c r="B54" s="50"/>
      <c r="C54" s="35" t="s">
        <v>82</v>
      </c>
      <c r="D54" s="56"/>
      <c r="E54" s="49"/>
      <c r="F54" s="48"/>
      <c r="G54" s="48"/>
      <c r="H54" s="7"/>
      <c r="I54" s="7"/>
    </row>
    <row r="55" spans="1:9" s="3" customFormat="1" x14ac:dyDescent="0.2">
      <c r="A55" s="56"/>
      <c r="B55" s="39" t="s">
        <v>83</v>
      </c>
      <c r="C55" s="35" t="s">
        <v>48</v>
      </c>
      <c r="D55" s="56"/>
      <c r="E55" s="33">
        <f t="shared" si="0"/>
        <v>77300</v>
      </c>
      <c r="F55" s="33"/>
      <c r="G55" s="37">
        <v>77300</v>
      </c>
      <c r="H55" s="7"/>
      <c r="I55" s="7"/>
    </row>
    <row r="56" spans="1:9" s="3" customFormat="1" x14ac:dyDescent="0.2">
      <c r="A56" s="56"/>
      <c r="B56" s="39" t="s">
        <v>54</v>
      </c>
      <c r="C56" s="35" t="s">
        <v>129</v>
      </c>
      <c r="D56" s="56"/>
      <c r="E56" s="33">
        <f t="shared" si="0"/>
        <v>303546.21000000002</v>
      </c>
      <c r="F56" s="33"/>
      <c r="G56" s="37">
        <f>247294.39+56521.82-270</f>
        <v>303546.21000000002</v>
      </c>
      <c r="H56" s="7"/>
      <c r="I56" s="7"/>
    </row>
    <row r="57" spans="1:9" s="3" customFormat="1" x14ac:dyDescent="0.2">
      <c r="A57" s="56"/>
      <c r="B57" s="50" t="s">
        <v>101</v>
      </c>
      <c r="C57" s="35" t="s">
        <v>102</v>
      </c>
      <c r="D57" s="56"/>
      <c r="E57" s="49">
        <f t="shared" si="0"/>
        <v>1204683.22</v>
      </c>
      <c r="F57" s="49"/>
      <c r="G57" s="48">
        <v>1204683.22</v>
      </c>
      <c r="H57" s="7"/>
      <c r="I57" s="7"/>
    </row>
    <row r="58" spans="1:9" s="3" customFormat="1" x14ac:dyDescent="0.2">
      <c r="A58" s="56"/>
      <c r="B58" s="50"/>
      <c r="C58" s="35" t="s">
        <v>48</v>
      </c>
      <c r="D58" s="56"/>
      <c r="E58" s="49"/>
      <c r="F58" s="49"/>
      <c r="G58" s="48"/>
      <c r="H58" s="7"/>
      <c r="I58" s="7"/>
    </row>
    <row r="59" spans="1:9" s="3" customFormat="1" x14ac:dyDescent="0.2">
      <c r="A59" s="56"/>
      <c r="B59" s="50"/>
      <c r="C59" s="35" t="s">
        <v>156</v>
      </c>
      <c r="D59" s="56"/>
      <c r="E59" s="49"/>
      <c r="F59" s="49"/>
      <c r="G59" s="48"/>
      <c r="H59" s="7"/>
      <c r="I59" s="7"/>
    </row>
    <row r="60" spans="1:9" s="3" customFormat="1" x14ac:dyDescent="0.2">
      <c r="A60" s="56"/>
      <c r="B60" s="50"/>
      <c r="C60" s="35" t="s">
        <v>139</v>
      </c>
      <c r="D60" s="56"/>
      <c r="E60" s="49"/>
      <c r="F60" s="49"/>
      <c r="G60" s="48"/>
      <c r="H60" s="29"/>
      <c r="I60" s="7"/>
    </row>
    <row r="61" spans="1:9" s="3" customFormat="1" ht="25.5" x14ac:dyDescent="0.2">
      <c r="A61" s="56"/>
      <c r="B61" s="39" t="s">
        <v>124</v>
      </c>
      <c r="C61" s="35" t="s">
        <v>197</v>
      </c>
      <c r="D61" s="56"/>
      <c r="E61" s="33">
        <f t="shared" si="0"/>
        <v>151019.03</v>
      </c>
      <c r="F61" s="33"/>
      <c r="G61" s="37">
        <f>111498.72+39520.31</f>
        <v>151019.03</v>
      </c>
      <c r="H61" s="29"/>
      <c r="I61" s="7"/>
    </row>
    <row r="62" spans="1:9" s="3" customFormat="1" x14ac:dyDescent="0.2">
      <c r="A62" s="56"/>
      <c r="B62" s="39" t="s">
        <v>175</v>
      </c>
      <c r="C62" s="35" t="s">
        <v>172</v>
      </c>
      <c r="D62" s="56"/>
      <c r="E62" s="33">
        <f t="shared" si="0"/>
        <v>378556</v>
      </c>
      <c r="F62" s="33"/>
      <c r="G62" s="37">
        <v>378556</v>
      </c>
      <c r="H62" s="7"/>
      <c r="I62" s="7"/>
    </row>
    <row r="63" spans="1:9" s="3" customFormat="1" x14ac:dyDescent="0.2">
      <c r="A63" s="56"/>
      <c r="B63" s="39" t="s">
        <v>179</v>
      </c>
      <c r="C63" s="35" t="s">
        <v>48</v>
      </c>
      <c r="D63" s="56"/>
      <c r="E63" s="33">
        <f t="shared" si="0"/>
        <v>98400</v>
      </c>
      <c r="F63" s="33"/>
      <c r="G63" s="37">
        <v>98400</v>
      </c>
      <c r="H63" s="7"/>
      <c r="I63" s="7"/>
    </row>
    <row r="64" spans="1:9" s="3" customFormat="1" x14ac:dyDescent="0.2">
      <c r="A64" s="56"/>
      <c r="B64" s="39" t="s">
        <v>203</v>
      </c>
      <c r="C64" s="35" t="s">
        <v>172</v>
      </c>
      <c r="D64" s="56"/>
      <c r="E64" s="33">
        <f t="shared" si="0"/>
        <v>572190.59</v>
      </c>
      <c r="F64" s="33"/>
      <c r="G64" s="37">
        <f>294077.98+278112.61</f>
        <v>572190.59</v>
      </c>
      <c r="H64" s="7"/>
      <c r="I64" s="7"/>
    </row>
    <row r="65" spans="1:9" s="3" customFormat="1" x14ac:dyDescent="0.2">
      <c r="A65" s="56"/>
      <c r="B65" s="39" t="s">
        <v>209</v>
      </c>
      <c r="C65" s="35" t="s">
        <v>210</v>
      </c>
      <c r="D65" s="56"/>
      <c r="E65" s="33">
        <f>G65</f>
        <v>550100</v>
      </c>
      <c r="F65" s="33"/>
      <c r="G65" s="37">
        <v>550100</v>
      </c>
      <c r="H65" s="7"/>
      <c r="I65" s="7"/>
    </row>
    <row r="66" spans="1:9" s="3" customFormat="1" x14ac:dyDescent="0.2">
      <c r="A66" s="56"/>
      <c r="B66" s="50" t="s">
        <v>174</v>
      </c>
      <c r="C66" s="35" t="str">
        <f>C78</f>
        <v>Монтаж узла учета</v>
      </c>
      <c r="D66" s="56"/>
      <c r="E66" s="49">
        <f t="shared" si="0"/>
        <v>401872.06</v>
      </c>
      <c r="F66" s="49"/>
      <c r="G66" s="48">
        <f>296739.19+105132.87</f>
        <v>401872.06</v>
      </c>
      <c r="H66" s="7"/>
      <c r="I66" s="7"/>
    </row>
    <row r="67" spans="1:9" s="3" customFormat="1" x14ac:dyDescent="0.2">
      <c r="A67" s="56"/>
      <c r="B67" s="50"/>
      <c r="C67" s="35" t="s">
        <v>48</v>
      </c>
      <c r="D67" s="56"/>
      <c r="E67" s="49"/>
      <c r="F67" s="49"/>
      <c r="G67" s="48"/>
      <c r="H67" s="7"/>
      <c r="I67" s="7"/>
    </row>
    <row r="68" spans="1:9" s="3" customFormat="1" x14ac:dyDescent="0.2">
      <c r="A68" s="56"/>
      <c r="B68" s="39" t="s">
        <v>84</v>
      </c>
      <c r="C68" s="35" t="s">
        <v>48</v>
      </c>
      <c r="D68" s="56"/>
      <c r="E68" s="33">
        <f t="shared" si="0"/>
        <v>102185.04</v>
      </c>
      <c r="F68" s="33"/>
      <c r="G68" s="37">
        <f>102185.04</f>
        <v>102185.04</v>
      </c>
      <c r="H68" s="7"/>
      <c r="I68" s="7"/>
    </row>
    <row r="69" spans="1:9" s="3" customFormat="1" x14ac:dyDescent="0.2">
      <c r="A69" s="56"/>
      <c r="B69" s="39" t="s">
        <v>180</v>
      </c>
      <c r="C69" s="35" t="s">
        <v>48</v>
      </c>
      <c r="D69" s="56"/>
      <c r="E69" s="33">
        <f t="shared" si="0"/>
        <v>250000</v>
      </c>
      <c r="F69" s="33"/>
      <c r="G69" s="37">
        <v>250000</v>
      </c>
      <c r="H69" s="7"/>
      <c r="I69" s="7"/>
    </row>
    <row r="70" spans="1:9" s="3" customFormat="1" x14ac:dyDescent="0.2">
      <c r="A70" s="56"/>
      <c r="B70" s="50" t="s">
        <v>86</v>
      </c>
      <c r="C70" s="35" t="s">
        <v>48</v>
      </c>
      <c r="D70" s="56"/>
      <c r="E70" s="49">
        <f t="shared" si="0"/>
        <v>279341.54000000004</v>
      </c>
      <c r="F70" s="49"/>
      <c r="G70" s="48">
        <f>34911.34+244430.2</f>
        <v>279341.54000000004</v>
      </c>
      <c r="H70" s="7"/>
      <c r="I70" s="7"/>
    </row>
    <row r="71" spans="1:9" s="3" customFormat="1" x14ac:dyDescent="0.2">
      <c r="A71" s="56"/>
      <c r="B71" s="50"/>
      <c r="C71" s="35" t="s">
        <v>162</v>
      </c>
      <c r="D71" s="56"/>
      <c r="E71" s="49"/>
      <c r="F71" s="49"/>
      <c r="G71" s="48"/>
      <c r="H71" s="7"/>
      <c r="I71" s="7"/>
    </row>
    <row r="72" spans="1:9" s="3" customFormat="1" x14ac:dyDescent="0.2">
      <c r="A72" s="56"/>
      <c r="B72" s="50" t="s">
        <v>103</v>
      </c>
      <c r="C72" s="35" t="s">
        <v>48</v>
      </c>
      <c r="D72" s="56"/>
      <c r="E72" s="49">
        <f t="shared" si="0"/>
        <v>545007.59000000008</v>
      </c>
      <c r="F72" s="49"/>
      <c r="G72" s="48">
        <f>150000+395007.59</f>
        <v>545007.59000000008</v>
      </c>
      <c r="H72" s="7"/>
      <c r="I72" s="7"/>
    </row>
    <row r="73" spans="1:9" s="3" customFormat="1" x14ac:dyDescent="0.2">
      <c r="A73" s="56"/>
      <c r="B73" s="50"/>
      <c r="C73" s="35" t="s">
        <v>204</v>
      </c>
      <c r="D73" s="56"/>
      <c r="E73" s="49"/>
      <c r="F73" s="49"/>
      <c r="G73" s="48"/>
      <c r="H73" s="7"/>
      <c r="I73" s="7"/>
    </row>
    <row r="74" spans="1:9" s="3" customFormat="1" x14ac:dyDescent="0.2">
      <c r="A74" s="56"/>
      <c r="B74" s="39" t="s">
        <v>55</v>
      </c>
      <c r="C74" s="35" t="s">
        <v>196</v>
      </c>
      <c r="D74" s="56"/>
      <c r="E74" s="33">
        <f t="shared" si="0"/>
        <v>268000</v>
      </c>
      <c r="F74" s="33"/>
      <c r="G74" s="37">
        <v>268000</v>
      </c>
      <c r="H74" s="7"/>
      <c r="I74" s="7"/>
    </row>
    <row r="75" spans="1:9" s="3" customFormat="1" x14ac:dyDescent="0.2">
      <c r="A75" s="56"/>
      <c r="B75" s="39" t="s">
        <v>171</v>
      </c>
      <c r="C75" s="35" t="s">
        <v>213</v>
      </c>
      <c r="D75" s="56"/>
      <c r="E75" s="33">
        <f t="shared" si="0"/>
        <v>82200</v>
      </c>
      <c r="F75" s="33"/>
      <c r="G75" s="37">
        <f>47100-15900+51000</f>
        <v>82200</v>
      </c>
      <c r="H75" s="7"/>
      <c r="I75" s="7"/>
    </row>
    <row r="76" spans="1:9" s="3" customFormat="1" ht="25.5" x14ac:dyDescent="0.2">
      <c r="A76" s="56"/>
      <c r="B76" s="39" t="s">
        <v>176</v>
      </c>
      <c r="C76" s="35" t="s">
        <v>177</v>
      </c>
      <c r="D76" s="56"/>
      <c r="E76" s="33">
        <f t="shared" si="0"/>
        <v>279680</v>
      </c>
      <c r="F76" s="33"/>
      <c r="G76" s="37">
        <v>279680</v>
      </c>
      <c r="H76" s="7"/>
      <c r="I76" s="7"/>
    </row>
    <row r="77" spans="1:9" s="3" customFormat="1" x14ac:dyDescent="0.2">
      <c r="A77" s="56"/>
      <c r="B77" s="50" t="s">
        <v>85</v>
      </c>
      <c r="C77" s="35" t="s">
        <v>48</v>
      </c>
      <c r="D77" s="56"/>
      <c r="E77" s="49">
        <f>G77</f>
        <v>699404.26</v>
      </c>
      <c r="F77" s="49"/>
      <c r="G77" s="48">
        <f>444592+80400+174412.26</f>
        <v>699404.26</v>
      </c>
      <c r="H77" s="7"/>
      <c r="I77" s="7"/>
    </row>
    <row r="78" spans="1:9" s="3" customFormat="1" x14ac:dyDescent="0.2">
      <c r="A78" s="56"/>
      <c r="B78" s="50"/>
      <c r="C78" s="35" t="s">
        <v>204</v>
      </c>
      <c r="D78" s="56"/>
      <c r="E78" s="49"/>
      <c r="F78" s="49"/>
      <c r="G78" s="48"/>
      <c r="H78" s="7"/>
      <c r="I78" s="7"/>
    </row>
    <row r="79" spans="1:9" s="3" customFormat="1" x14ac:dyDescent="0.2">
      <c r="A79" s="56"/>
      <c r="B79" s="50"/>
      <c r="C79" s="35" t="s">
        <v>139</v>
      </c>
      <c r="D79" s="56"/>
      <c r="E79" s="49"/>
      <c r="F79" s="49"/>
      <c r="G79" s="48"/>
      <c r="H79" s="7"/>
      <c r="I79" s="7"/>
    </row>
    <row r="80" spans="1:9" s="3" customFormat="1" ht="102" x14ac:dyDescent="0.2">
      <c r="A80" s="56"/>
      <c r="B80" s="39" t="s">
        <v>46</v>
      </c>
      <c r="C80" s="35" t="s">
        <v>47</v>
      </c>
      <c r="D80" s="34" t="s">
        <v>223</v>
      </c>
      <c r="E80" s="37">
        <f>F80+G80</f>
        <v>1280300</v>
      </c>
      <c r="F80" s="33">
        <f>1436400-50000-156100</f>
        <v>1230300</v>
      </c>
      <c r="G80" s="37">
        <v>50000</v>
      </c>
      <c r="H80" s="7"/>
      <c r="I80" s="7"/>
    </row>
    <row r="81" spans="1:10" ht="24.75" customHeight="1" x14ac:dyDescent="0.2">
      <c r="A81" s="56"/>
      <c r="B81" s="55" t="s">
        <v>34</v>
      </c>
      <c r="C81" s="55"/>
      <c r="D81" s="55"/>
      <c r="E81" s="11">
        <f>SUM(E10:E80)</f>
        <v>42117780.929200009</v>
      </c>
      <c r="F81" s="11">
        <f>SUM(F10:F80)</f>
        <v>1230300</v>
      </c>
      <c r="G81" s="11">
        <f>SUM(G10:G80)</f>
        <v>40887480.929200009</v>
      </c>
      <c r="H81" s="24"/>
      <c r="I81" s="24"/>
      <c r="J81" s="24"/>
    </row>
    <row r="82" spans="1:10" ht="27.75" customHeight="1" x14ac:dyDescent="0.2">
      <c r="A82" s="56"/>
      <c r="B82" s="55" t="s">
        <v>38</v>
      </c>
      <c r="C82" s="55"/>
      <c r="D82" s="55"/>
      <c r="E82" s="11">
        <f>E39</f>
        <v>207200</v>
      </c>
      <c r="F82" s="11">
        <f>F39</f>
        <v>0</v>
      </c>
      <c r="G82" s="11">
        <f>G39</f>
        <v>207200</v>
      </c>
      <c r="I82" s="24"/>
      <c r="J82" s="24"/>
    </row>
    <row r="83" spans="1:10" x14ac:dyDescent="0.2">
      <c r="A83" s="56" t="s">
        <v>42</v>
      </c>
      <c r="B83" s="51" t="s">
        <v>8</v>
      </c>
      <c r="C83" s="39" t="s">
        <v>45</v>
      </c>
      <c r="D83" s="56" t="s">
        <v>222</v>
      </c>
      <c r="E83" s="52">
        <f t="shared" ref="E83:E141" si="1">F83+G83</f>
        <v>6609546.6800000006</v>
      </c>
      <c r="F83" s="54"/>
      <c r="G83" s="53">
        <f>7558276.7-1100108.63+70006+44004.61+17065+20303</f>
        <v>6609546.6800000006</v>
      </c>
      <c r="H83" s="24"/>
      <c r="I83" s="24"/>
      <c r="J83" s="24"/>
    </row>
    <row r="84" spans="1:10" ht="25.5" x14ac:dyDescent="0.2">
      <c r="A84" s="56"/>
      <c r="B84" s="51"/>
      <c r="C84" s="39" t="s">
        <v>151</v>
      </c>
      <c r="D84" s="56"/>
      <c r="E84" s="52"/>
      <c r="F84" s="54"/>
      <c r="G84" s="53"/>
      <c r="H84" s="24"/>
      <c r="I84" s="24"/>
      <c r="J84" s="24"/>
    </row>
    <row r="85" spans="1:10" x14ac:dyDescent="0.2">
      <c r="A85" s="56"/>
      <c r="B85" s="51"/>
      <c r="C85" s="39" t="s">
        <v>152</v>
      </c>
      <c r="D85" s="56"/>
      <c r="E85" s="52"/>
      <c r="F85" s="54"/>
      <c r="G85" s="53"/>
      <c r="H85" s="24"/>
      <c r="I85" s="24"/>
      <c r="J85" s="24"/>
    </row>
    <row r="86" spans="1:10" x14ac:dyDescent="0.2">
      <c r="A86" s="56"/>
      <c r="B86" s="51"/>
      <c r="C86" s="39" t="s">
        <v>153</v>
      </c>
      <c r="D86" s="56"/>
      <c r="E86" s="52"/>
      <c r="F86" s="54"/>
      <c r="G86" s="53"/>
      <c r="H86" s="24"/>
      <c r="I86" s="24"/>
      <c r="J86" s="24"/>
    </row>
    <row r="87" spans="1:10" ht="13.5" customHeight="1" x14ac:dyDescent="0.2">
      <c r="A87" s="56"/>
      <c r="B87" s="51"/>
      <c r="C87" s="39" t="s">
        <v>48</v>
      </c>
      <c r="D87" s="56"/>
      <c r="E87" s="52"/>
      <c r="F87" s="54"/>
      <c r="G87" s="53"/>
      <c r="I87" s="24"/>
    </row>
    <row r="88" spans="1:10" ht="13.5" customHeight="1" x14ac:dyDescent="0.2">
      <c r="A88" s="56"/>
      <c r="B88" s="51" t="s">
        <v>115</v>
      </c>
      <c r="C88" s="39" t="s">
        <v>116</v>
      </c>
      <c r="D88" s="56"/>
      <c r="E88" s="52">
        <f t="shared" si="1"/>
        <v>772892.48</v>
      </c>
      <c r="F88" s="54"/>
      <c r="G88" s="53">
        <f>27807.18+41685.3+703400</f>
        <v>772892.48</v>
      </c>
    </row>
    <row r="89" spans="1:10" ht="13.5" customHeight="1" x14ac:dyDescent="0.2">
      <c r="A89" s="56"/>
      <c r="B89" s="51"/>
      <c r="C89" s="39" t="s">
        <v>211</v>
      </c>
      <c r="D89" s="56"/>
      <c r="E89" s="52"/>
      <c r="F89" s="54"/>
      <c r="G89" s="53"/>
    </row>
    <row r="90" spans="1:10" ht="13.5" customHeight="1" x14ac:dyDescent="0.2">
      <c r="A90" s="56"/>
      <c r="B90" s="51" t="s">
        <v>145</v>
      </c>
      <c r="C90" s="39" t="s">
        <v>125</v>
      </c>
      <c r="D90" s="56"/>
      <c r="E90" s="52">
        <f>G90</f>
        <v>2346844.2800000003</v>
      </c>
      <c r="F90" s="54"/>
      <c r="G90" s="53">
        <f>105000+19650+2000000+91916.74+130277.54</f>
        <v>2346844.2800000003</v>
      </c>
    </row>
    <row r="91" spans="1:10" ht="24" customHeight="1" x14ac:dyDescent="0.2">
      <c r="A91" s="56"/>
      <c r="B91" s="51"/>
      <c r="C91" s="39" t="s">
        <v>169</v>
      </c>
      <c r="D91" s="56"/>
      <c r="E91" s="52"/>
      <c r="F91" s="54"/>
      <c r="G91" s="53"/>
    </row>
    <row r="92" spans="1:10" ht="26.25" customHeight="1" x14ac:dyDescent="0.2">
      <c r="A92" s="56"/>
      <c r="B92" s="51"/>
      <c r="C92" s="39" t="s">
        <v>98</v>
      </c>
      <c r="D92" s="56"/>
      <c r="E92" s="52"/>
      <c r="F92" s="54"/>
      <c r="G92" s="53"/>
    </row>
    <row r="93" spans="1:10" ht="24" customHeight="1" x14ac:dyDescent="0.2">
      <c r="A93" s="56"/>
      <c r="B93" s="51"/>
      <c r="C93" s="39" t="s">
        <v>181</v>
      </c>
      <c r="D93" s="56"/>
      <c r="E93" s="52"/>
      <c r="F93" s="54"/>
      <c r="G93" s="53"/>
    </row>
    <row r="94" spans="1:10" ht="13.5" customHeight="1" x14ac:dyDescent="0.2">
      <c r="A94" s="56"/>
      <c r="B94" s="51"/>
      <c r="C94" s="39" t="s">
        <v>146</v>
      </c>
      <c r="D94" s="56"/>
      <c r="E94" s="52"/>
      <c r="F94" s="54"/>
      <c r="G94" s="53"/>
    </row>
    <row r="95" spans="1:10" ht="13.5" customHeight="1" x14ac:dyDescent="0.2">
      <c r="A95" s="56"/>
      <c r="B95" s="51" t="s">
        <v>92</v>
      </c>
      <c r="C95" s="39" t="s">
        <v>93</v>
      </c>
      <c r="D95" s="56"/>
      <c r="E95" s="52">
        <f t="shared" si="1"/>
        <v>527624.64</v>
      </c>
      <c r="F95" s="54"/>
      <c r="G95" s="53">
        <f>205841.96+321782.68</f>
        <v>527624.64</v>
      </c>
    </row>
    <row r="96" spans="1:10" ht="13.5" customHeight="1" x14ac:dyDescent="0.2">
      <c r="A96" s="56"/>
      <c r="B96" s="51"/>
      <c r="C96" s="39" t="s">
        <v>130</v>
      </c>
      <c r="D96" s="56"/>
      <c r="E96" s="52"/>
      <c r="F96" s="54"/>
      <c r="G96" s="53"/>
    </row>
    <row r="97" spans="1:9" ht="13.5" customHeight="1" x14ac:dyDescent="0.2">
      <c r="A97" s="56"/>
      <c r="B97" s="51" t="s">
        <v>91</v>
      </c>
      <c r="C97" s="39" t="s">
        <v>120</v>
      </c>
      <c r="D97" s="56"/>
      <c r="E97" s="53">
        <f>G97</f>
        <v>3743697</v>
      </c>
      <c r="F97" s="53"/>
      <c r="G97" s="53">
        <v>3743697</v>
      </c>
      <c r="H97" s="24"/>
    </row>
    <row r="98" spans="1:9" ht="13.5" customHeight="1" x14ac:dyDescent="0.2">
      <c r="A98" s="56"/>
      <c r="B98" s="51"/>
      <c r="C98" s="39" t="s">
        <v>161</v>
      </c>
      <c r="D98" s="56"/>
      <c r="E98" s="53"/>
      <c r="F98" s="53"/>
      <c r="G98" s="53"/>
    </row>
    <row r="99" spans="1:9" ht="13.5" customHeight="1" x14ac:dyDescent="0.2">
      <c r="A99" s="56"/>
      <c r="B99" s="51"/>
      <c r="C99" s="39" t="s">
        <v>48</v>
      </c>
      <c r="D99" s="56"/>
      <c r="E99" s="53"/>
      <c r="F99" s="53"/>
      <c r="G99" s="53"/>
    </row>
    <row r="100" spans="1:9" s="3" customFormat="1" x14ac:dyDescent="0.2">
      <c r="A100" s="56"/>
      <c r="B100" s="51" t="s">
        <v>39</v>
      </c>
      <c r="C100" s="39" t="s">
        <v>45</v>
      </c>
      <c r="D100" s="56"/>
      <c r="E100" s="52">
        <f t="shared" si="1"/>
        <v>263463.27</v>
      </c>
      <c r="F100" s="49"/>
      <c r="G100" s="52">
        <f>193463.27+70000</f>
        <v>263463.27</v>
      </c>
      <c r="H100" s="7"/>
      <c r="I100" s="7"/>
    </row>
    <row r="101" spans="1:9" s="3" customFormat="1" x14ac:dyDescent="0.2">
      <c r="A101" s="56"/>
      <c r="B101" s="51"/>
      <c r="C101" s="39" t="s">
        <v>141</v>
      </c>
      <c r="D101" s="56"/>
      <c r="E101" s="52"/>
      <c r="F101" s="49"/>
      <c r="G101" s="52"/>
      <c r="H101" s="7"/>
      <c r="I101" s="7"/>
    </row>
    <row r="102" spans="1:9" s="3" customFormat="1" x14ac:dyDescent="0.2">
      <c r="A102" s="56"/>
      <c r="B102" s="36" t="s">
        <v>40</v>
      </c>
      <c r="C102" s="39" t="s">
        <v>45</v>
      </c>
      <c r="D102" s="56"/>
      <c r="E102" s="11">
        <f t="shared" si="1"/>
        <v>458474</v>
      </c>
      <c r="F102" s="37"/>
      <c r="G102" s="11">
        <v>458474</v>
      </c>
      <c r="H102" s="7"/>
      <c r="I102" s="7"/>
    </row>
    <row r="103" spans="1:9" s="3" customFormat="1" x14ac:dyDescent="0.2">
      <c r="A103" s="56"/>
      <c r="B103" s="36" t="s">
        <v>206</v>
      </c>
      <c r="C103" s="39" t="s">
        <v>207</v>
      </c>
      <c r="D103" s="56"/>
      <c r="E103" s="11">
        <f t="shared" si="1"/>
        <v>824800</v>
      </c>
      <c r="F103" s="37"/>
      <c r="G103" s="11">
        <v>824800</v>
      </c>
      <c r="H103" s="7"/>
      <c r="I103" s="7"/>
    </row>
    <row r="104" spans="1:9" s="3" customFormat="1" x14ac:dyDescent="0.2">
      <c r="A104" s="56"/>
      <c r="B104" s="51" t="s">
        <v>16</v>
      </c>
      <c r="C104" s="39" t="s">
        <v>147</v>
      </c>
      <c r="D104" s="56"/>
      <c r="E104" s="52">
        <f t="shared" si="1"/>
        <v>184140.86</v>
      </c>
      <c r="F104" s="49"/>
      <c r="G104" s="52">
        <f>75170.23+33800.4+75170.23</f>
        <v>184140.86</v>
      </c>
      <c r="H104" s="7"/>
      <c r="I104" s="7"/>
    </row>
    <row r="105" spans="1:9" s="3" customFormat="1" x14ac:dyDescent="0.2">
      <c r="A105" s="56"/>
      <c r="B105" s="51"/>
      <c r="C105" s="39" t="s">
        <v>198</v>
      </c>
      <c r="D105" s="56"/>
      <c r="E105" s="52"/>
      <c r="F105" s="49"/>
      <c r="G105" s="52"/>
      <c r="H105" s="7"/>
      <c r="I105" s="7"/>
    </row>
    <row r="106" spans="1:9" s="3" customFormat="1" x14ac:dyDescent="0.2">
      <c r="A106" s="56"/>
      <c r="B106" s="51" t="s">
        <v>17</v>
      </c>
      <c r="C106" s="39" t="s">
        <v>48</v>
      </c>
      <c r="D106" s="56"/>
      <c r="E106" s="52">
        <f t="shared" si="1"/>
        <v>5308775</v>
      </c>
      <c r="F106" s="49"/>
      <c r="G106" s="52">
        <f>2293300+626455+2389020</f>
        <v>5308775</v>
      </c>
      <c r="H106" s="7"/>
      <c r="I106" s="7"/>
    </row>
    <row r="107" spans="1:9" s="3" customFormat="1" x14ac:dyDescent="0.2">
      <c r="A107" s="56"/>
      <c r="B107" s="51"/>
      <c r="C107" s="39" t="s">
        <v>120</v>
      </c>
      <c r="D107" s="56"/>
      <c r="E107" s="52"/>
      <c r="F107" s="49"/>
      <c r="G107" s="52"/>
      <c r="H107" s="7"/>
      <c r="I107" s="7"/>
    </row>
    <row r="108" spans="1:9" s="3" customFormat="1" ht="25.5" x14ac:dyDescent="0.2">
      <c r="A108" s="56"/>
      <c r="B108" s="51"/>
      <c r="C108" s="39" t="s">
        <v>164</v>
      </c>
      <c r="D108" s="56"/>
      <c r="E108" s="52"/>
      <c r="F108" s="49"/>
      <c r="G108" s="52"/>
      <c r="H108" s="7"/>
      <c r="I108" s="7"/>
    </row>
    <row r="109" spans="1:9" s="3" customFormat="1" x14ac:dyDescent="0.2">
      <c r="A109" s="56"/>
      <c r="B109" s="51"/>
      <c r="C109" s="39" t="s">
        <v>202</v>
      </c>
      <c r="D109" s="56"/>
      <c r="E109" s="52"/>
      <c r="F109" s="49"/>
      <c r="G109" s="52"/>
      <c r="H109" s="7"/>
      <c r="I109" s="7"/>
    </row>
    <row r="110" spans="1:9" s="3" customFormat="1" x14ac:dyDescent="0.2">
      <c r="A110" s="56"/>
      <c r="B110" s="51"/>
      <c r="C110" s="39" t="s">
        <v>154</v>
      </c>
      <c r="D110" s="56"/>
      <c r="E110" s="52"/>
      <c r="F110" s="49"/>
      <c r="G110" s="52"/>
      <c r="H110" s="7"/>
      <c r="I110" s="7"/>
    </row>
    <row r="111" spans="1:9" s="3" customFormat="1" ht="38.25" x14ac:dyDescent="0.2">
      <c r="A111" s="56"/>
      <c r="B111" s="51" t="s">
        <v>118</v>
      </c>
      <c r="C111" s="39" t="s">
        <v>119</v>
      </c>
      <c r="D111" s="56"/>
      <c r="E111" s="52">
        <f t="shared" si="1"/>
        <v>1546471</v>
      </c>
      <c r="F111" s="42"/>
      <c r="G111" s="52">
        <f>1413321+133150</f>
        <v>1546471</v>
      </c>
      <c r="H111" s="7"/>
      <c r="I111" s="7"/>
    </row>
    <row r="112" spans="1:9" s="3" customFormat="1" x14ac:dyDescent="0.2">
      <c r="A112" s="56"/>
      <c r="B112" s="51"/>
      <c r="C112" s="39" t="s">
        <v>155</v>
      </c>
      <c r="D112" s="56"/>
      <c r="E112" s="52"/>
      <c r="F112" s="42"/>
      <c r="G112" s="52"/>
      <c r="H112" s="7"/>
      <c r="I112" s="7"/>
    </row>
    <row r="113" spans="1:10" s="3" customFormat="1" ht="25.5" x14ac:dyDescent="0.2">
      <c r="A113" s="56"/>
      <c r="B113" s="51"/>
      <c r="C113" s="39" t="s">
        <v>183</v>
      </c>
      <c r="D113" s="56"/>
      <c r="E113" s="52"/>
      <c r="F113" s="42"/>
      <c r="G113" s="52"/>
      <c r="H113" s="7"/>
      <c r="I113" s="7"/>
    </row>
    <row r="114" spans="1:10" s="3" customFormat="1" x14ac:dyDescent="0.2">
      <c r="A114" s="56"/>
      <c r="B114" s="51"/>
      <c r="C114" s="39" t="s">
        <v>48</v>
      </c>
      <c r="D114" s="56"/>
      <c r="E114" s="52"/>
      <c r="F114" s="42"/>
      <c r="G114" s="52"/>
      <c r="H114" s="7"/>
      <c r="I114" s="7"/>
    </row>
    <row r="115" spans="1:10" s="3" customFormat="1" ht="76.5" x14ac:dyDescent="0.2">
      <c r="A115" s="56"/>
      <c r="B115" s="51" t="s">
        <v>99</v>
      </c>
      <c r="C115" s="39" t="s">
        <v>143</v>
      </c>
      <c r="D115" s="56"/>
      <c r="E115" s="58">
        <f t="shared" si="1"/>
        <v>12396093.560000001</v>
      </c>
      <c r="F115" s="59"/>
      <c r="G115" s="57">
        <v>12396093.560000001</v>
      </c>
      <c r="H115" s="7"/>
      <c r="I115" s="7"/>
      <c r="J115" s="26"/>
    </row>
    <row r="116" spans="1:10" s="3" customFormat="1" x14ac:dyDescent="0.2">
      <c r="A116" s="56"/>
      <c r="B116" s="51"/>
      <c r="C116" s="39" t="s">
        <v>48</v>
      </c>
      <c r="D116" s="56"/>
      <c r="E116" s="58"/>
      <c r="F116" s="59"/>
      <c r="G116" s="57"/>
      <c r="H116" s="7"/>
      <c r="I116" s="7"/>
      <c r="J116" s="26"/>
    </row>
    <row r="117" spans="1:10" s="3" customFormat="1" x14ac:dyDescent="0.2">
      <c r="A117" s="56"/>
      <c r="B117" s="51" t="s">
        <v>90</v>
      </c>
      <c r="C117" s="39" t="s">
        <v>48</v>
      </c>
      <c r="D117" s="56"/>
      <c r="E117" s="52">
        <f t="shared" si="1"/>
        <v>2497208.41</v>
      </c>
      <c r="F117" s="49"/>
      <c r="G117" s="52">
        <f>112208.41+2385000</f>
        <v>2497208.41</v>
      </c>
      <c r="H117" s="7"/>
      <c r="I117" s="7"/>
      <c r="J117" s="26"/>
    </row>
    <row r="118" spans="1:10" s="3" customFormat="1" ht="25.5" x14ac:dyDescent="0.2">
      <c r="A118" s="56"/>
      <c r="B118" s="51"/>
      <c r="C118" s="39" t="s">
        <v>169</v>
      </c>
      <c r="D118" s="56"/>
      <c r="E118" s="52"/>
      <c r="F118" s="49"/>
      <c r="G118" s="52"/>
      <c r="H118" s="7"/>
      <c r="I118" s="7"/>
      <c r="J118" s="26"/>
    </row>
    <row r="119" spans="1:10" s="3" customFormat="1" ht="18" customHeight="1" x14ac:dyDescent="0.2">
      <c r="A119" s="56"/>
      <c r="B119" s="51" t="s">
        <v>21</v>
      </c>
      <c r="C119" s="39" t="s">
        <v>59</v>
      </c>
      <c r="D119" s="56"/>
      <c r="E119" s="52">
        <f t="shared" ref="E119" si="2">4020000+306000</f>
        <v>4326000</v>
      </c>
      <c r="F119" s="52">
        <v>0</v>
      </c>
      <c r="G119" s="52">
        <f>4020000+306000</f>
        <v>4326000</v>
      </c>
      <c r="H119" s="7"/>
      <c r="I119" s="7"/>
      <c r="J119" s="26"/>
    </row>
    <row r="120" spans="1:10" s="3" customFormat="1" ht="55.5" customHeight="1" x14ac:dyDescent="0.2">
      <c r="A120" s="56"/>
      <c r="B120" s="51"/>
      <c r="C120" s="39" t="s">
        <v>144</v>
      </c>
      <c r="D120" s="56"/>
      <c r="E120" s="52"/>
      <c r="F120" s="52"/>
      <c r="G120" s="52"/>
      <c r="H120" s="7"/>
      <c r="I120" s="7"/>
      <c r="J120" s="26"/>
    </row>
    <row r="121" spans="1:10" s="3" customFormat="1" ht="17.25" customHeight="1" x14ac:dyDescent="0.2">
      <c r="A121" s="56"/>
      <c r="B121" s="36" t="s">
        <v>163</v>
      </c>
      <c r="C121" s="39" t="str">
        <f>C117</f>
        <v>Замена оконных блоков</v>
      </c>
      <c r="D121" s="56"/>
      <c r="E121" s="32">
        <f>G121</f>
        <v>1554700</v>
      </c>
      <c r="F121" s="32"/>
      <c r="G121" s="32">
        <v>1554700</v>
      </c>
      <c r="H121" s="7"/>
      <c r="I121" s="7"/>
      <c r="J121" s="26"/>
    </row>
    <row r="122" spans="1:10" s="3" customFormat="1" ht="18" customHeight="1" x14ac:dyDescent="0.2">
      <c r="A122" s="56"/>
      <c r="B122" s="36" t="s">
        <v>182</v>
      </c>
      <c r="C122" s="39" t="s">
        <v>48</v>
      </c>
      <c r="D122" s="56"/>
      <c r="E122" s="32">
        <f>G122</f>
        <v>160000</v>
      </c>
      <c r="F122" s="32"/>
      <c r="G122" s="32">
        <v>160000</v>
      </c>
      <c r="H122" s="7"/>
      <c r="I122" s="7"/>
      <c r="J122" s="26"/>
    </row>
    <row r="123" spans="1:10" s="3" customFormat="1" ht="18.75" customHeight="1" x14ac:dyDescent="0.2">
      <c r="A123" s="56"/>
      <c r="B123" s="51" t="s">
        <v>22</v>
      </c>
      <c r="C123" s="39" t="str">
        <f>C121</f>
        <v>Замена оконных блоков</v>
      </c>
      <c r="D123" s="56"/>
      <c r="E123" s="52">
        <f>G123</f>
        <v>6204497</v>
      </c>
      <c r="F123" s="49"/>
      <c r="G123" s="52">
        <f>3410267+88000+821730+1785000+99500</f>
        <v>6204497</v>
      </c>
      <c r="H123" s="7"/>
      <c r="I123" s="7"/>
      <c r="J123" s="27"/>
    </row>
    <row r="124" spans="1:10" s="3" customFormat="1" ht="57" customHeight="1" x14ac:dyDescent="0.2">
      <c r="A124" s="56"/>
      <c r="B124" s="51"/>
      <c r="C124" s="39" t="s">
        <v>201</v>
      </c>
      <c r="D124" s="56"/>
      <c r="E124" s="52"/>
      <c r="F124" s="49"/>
      <c r="G124" s="52"/>
      <c r="H124" s="7"/>
      <c r="I124" s="7"/>
      <c r="J124" s="27"/>
    </row>
    <row r="125" spans="1:10" s="3" customFormat="1" ht="50.25" customHeight="1" x14ac:dyDescent="0.2">
      <c r="A125" s="56"/>
      <c r="B125" s="51"/>
      <c r="C125" s="39" t="s">
        <v>178</v>
      </c>
      <c r="D125" s="56"/>
      <c r="E125" s="52"/>
      <c r="F125" s="49"/>
      <c r="G125" s="52"/>
      <c r="H125" s="7"/>
      <c r="I125" s="7"/>
      <c r="J125" s="27"/>
    </row>
    <row r="126" spans="1:10" s="3" customFormat="1" ht="43.5" customHeight="1" x14ac:dyDescent="0.2">
      <c r="A126" s="56"/>
      <c r="B126" s="51"/>
      <c r="C126" s="39" t="s">
        <v>200</v>
      </c>
      <c r="D126" s="56"/>
      <c r="E126" s="52"/>
      <c r="F126" s="49"/>
      <c r="G126" s="52"/>
      <c r="H126" s="7"/>
      <c r="I126" s="7"/>
      <c r="J126" s="27"/>
    </row>
    <row r="127" spans="1:10" s="3" customFormat="1" ht="28.5" customHeight="1" x14ac:dyDescent="0.2">
      <c r="A127" s="56"/>
      <c r="B127" s="51"/>
      <c r="C127" s="39" t="s">
        <v>199</v>
      </c>
      <c r="D127" s="56"/>
      <c r="E127" s="52"/>
      <c r="F127" s="49"/>
      <c r="G127" s="52"/>
      <c r="H127" s="7"/>
      <c r="I127" s="7"/>
    </row>
    <row r="128" spans="1:10" s="3" customFormat="1" ht="12.75" customHeight="1" x14ac:dyDescent="0.2">
      <c r="A128" s="56"/>
      <c r="B128" s="51" t="s">
        <v>23</v>
      </c>
      <c r="C128" s="39" t="s">
        <v>48</v>
      </c>
      <c r="D128" s="56"/>
      <c r="E128" s="52">
        <f>G128</f>
        <v>411946</v>
      </c>
      <c r="F128" s="49"/>
      <c r="G128" s="52">
        <f>27000+55000+66000+263946</f>
        <v>411946</v>
      </c>
      <c r="H128" s="7"/>
      <c r="I128" s="7"/>
    </row>
    <row r="129" spans="1:10" s="3" customFormat="1" ht="24.75" customHeight="1" x14ac:dyDescent="0.2">
      <c r="A129" s="56"/>
      <c r="B129" s="51"/>
      <c r="C129" s="39" t="s">
        <v>205</v>
      </c>
      <c r="D129" s="56"/>
      <c r="E129" s="52"/>
      <c r="F129" s="49"/>
      <c r="G129" s="52"/>
      <c r="H129" s="7"/>
      <c r="I129" s="7"/>
    </row>
    <row r="130" spans="1:10" s="3" customFormat="1" ht="18" customHeight="1" x14ac:dyDescent="0.2">
      <c r="A130" s="56"/>
      <c r="B130" s="51"/>
      <c r="C130" s="39" t="s">
        <v>212</v>
      </c>
      <c r="D130" s="56"/>
      <c r="E130" s="52"/>
      <c r="F130" s="49"/>
      <c r="G130" s="52"/>
      <c r="H130" s="7"/>
      <c r="I130" s="7"/>
    </row>
    <row r="131" spans="1:10" s="3" customFormat="1" ht="17.25" customHeight="1" x14ac:dyDescent="0.2">
      <c r="A131" s="56"/>
      <c r="B131" s="51"/>
      <c r="C131" s="39" t="s">
        <v>116</v>
      </c>
      <c r="D131" s="56"/>
      <c r="E131" s="52"/>
      <c r="F131" s="49"/>
      <c r="G131" s="52"/>
      <c r="H131" s="7"/>
      <c r="I131" s="7"/>
    </row>
    <row r="132" spans="1:10" s="3" customFormat="1" ht="17.25" customHeight="1" x14ac:dyDescent="0.2">
      <c r="A132" s="56"/>
      <c r="B132" s="51" t="s">
        <v>94</v>
      </c>
      <c r="C132" s="39" t="s">
        <v>48</v>
      </c>
      <c r="D132" s="56"/>
      <c r="E132" s="52">
        <f>G132</f>
        <v>544254.88</v>
      </c>
      <c r="F132" s="49"/>
      <c r="G132" s="52">
        <f>166000+107800+166000+104454.88</f>
        <v>544254.88</v>
      </c>
      <c r="H132" s="7"/>
      <c r="I132" s="7"/>
      <c r="J132" s="27"/>
    </row>
    <row r="133" spans="1:10" s="3" customFormat="1" ht="20.25" customHeight="1" x14ac:dyDescent="0.2">
      <c r="A133" s="56"/>
      <c r="B133" s="51"/>
      <c r="C133" s="39" t="s">
        <v>95</v>
      </c>
      <c r="D133" s="56"/>
      <c r="E133" s="52"/>
      <c r="F133" s="49"/>
      <c r="G133" s="52"/>
      <c r="H133" s="7"/>
      <c r="I133" s="7"/>
    </row>
    <row r="134" spans="1:10" s="3" customFormat="1" ht="15.75" customHeight="1" x14ac:dyDescent="0.2">
      <c r="A134" s="56"/>
      <c r="B134" s="51"/>
      <c r="C134" s="39" t="s">
        <v>96</v>
      </c>
      <c r="D134" s="56"/>
      <c r="E134" s="52"/>
      <c r="F134" s="49"/>
      <c r="G134" s="52"/>
      <c r="H134" s="7"/>
      <c r="I134" s="7"/>
    </row>
    <row r="135" spans="1:10" s="3" customFormat="1" ht="28.5" customHeight="1" x14ac:dyDescent="0.2">
      <c r="A135" s="56"/>
      <c r="B135" s="51"/>
      <c r="C135" s="39" t="s">
        <v>104</v>
      </c>
      <c r="D135" s="56"/>
      <c r="E135" s="52"/>
      <c r="F135" s="49"/>
      <c r="G135" s="52"/>
      <c r="H135" s="7"/>
      <c r="I135" s="7"/>
    </row>
    <row r="136" spans="1:10" s="3" customFormat="1" ht="13.5" customHeight="1" x14ac:dyDescent="0.2">
      <c r="A136" s="56"/>
      <c r="B136" s="51" t="s">
        <v>26</v>
      </c>
      <c r="C136" s="39" t="s">
        <v>48</v>
      </c>
      <c r="D136" s="56"/>
      <c r="E136" s="52">
        <f>G136</f>
        <v>895035</v>
      </c>
      <c r="F136" s="49"/>
      <c r="G136" s="52">
        <f>254200+317750+323085</f>
        <v>895035</v>
      </c>
      <c r="H136" s="7"/>
      <c r="I136" s="7"/>
    </row>
    <row r="137" spans="1:10" s="3" customFormat="1" ht="13.5" customHeight="1" x14ac:dyDescent="0.2">
      <c r="A137" s="56"/>
      <c r="B137" s="51"/>
      <c r="C137" s="39" t="s">
        <v>128</v>
      </c>
      <c r="D137" s="56"/>
      <c r="E137" s="52"/>
      <c r="F137" s="49"/>
      <c r="G137" s="52"/>
      <c r="H137" s="7"/>
      <c r="I137" s="7"/>
    </row>
    <row r="138" spans="1:10" s="3" customFormat="1" ht="18.75" customHeight="1" x14ac:dyDescent="0.2">
      <c r="A138" s="56"/>
      <c r="B138" s="51" t="s">
        <v>25</v>
      </c>
      <c r="C138" s="39" t="s">
        <v>74</v>
      </c>
      <c r="D138" s="56"/>
      <c r="E138" s="52">
        <f>G138</f>
        <v>4734369.2699999996</v>
      </c>
      <c r="F138" s="52"/>
      <c r="G138" s="52">
        <f>1422288+893776+553467+720838.27+1265000-66000-55000</f>
        <v>4734369.2699999996</v>
      </c>
      <c r="H138" s="7"/>
      <c r="I138" s="7"/>
    </row>
    <row r="139" spans="1:10" s="3" customFormat="1" ht="18.75" customHeight="1" x14ac:dyDescent="0.2">
      <c r="A139" s="56"/>
      <c r="B139" s="51"/>
      <c r="C139" s="39" t="s">
        <v>105</v>
      </c>
      <c r="D139" s="56"/>
      <c r="E139" s="52"/>
      <c r="F139" s="52"/>
      <c r="G139" s="52"/>
      <c r="H139" s="7"/>
      <c r="I139" s="7"/>
    </row>
    <row r="140" spans="1:10" s="3" customFormat="1" ht="25.5" x14ac:dyDescent="0.2">
      <c r="A140" s="56"/>
      <c r="B140" s="51"/>
      <c r="C140" s="39" t="s">
        <v>186</v>
      </c>
      <c r="D140" s="56"/>
      <c r="E140" s="52"/>
      <c r="F140" s="52"/>
      <c r="G140" s="52"/>
      <c r="H140" s="7"/>
      <c r="I140" s="7"/>
    </row>
    <row r="141" spans="1:10" s="3" customFormat="1" ht="53.25" customHeight="1" x14ac:dyDescent="0.2">
      <c r="A141" s="56"/>
      <c r="B141" s="51"/>
      <c r="C141" s="39" t="s">
        <v>48</v>
      </c>
      <c r="D141" s="34" t="s">
        <v>229</v>
      </c>
      <c r="E141" s="11">
        <f t="shared" si="1"/>
        <v>1074700</v>
      </c>
      <c r="F141" s="37">
        <v>1064700</v>
      </c>
      <c r="G141" s="11">
        <v>10000</v>
      </c>
      <c r="H141" s="7"/>
      <c r="I141" s="7"/>
    </row>
    <row r="142" spans="1:10" ht="19.5" customHeight="1" x14ac:dyDescent="0.2">
      <c r="A142" s="56"/>
      <c r="B142" s="61" t="s">
        <v>34</v>
      </c>
      <c r="C142" s="61"/>
      <c r="D142" s="61"/>
      <c r="E142" s="11">
        <f>SUM(E83:E141)</f>
        <v>57385533.330000013</v>
      </c>
      <c r="F142" s="11">
        <f>SUM(F83:F141)</f>
        <v>1064700</v>
      </c>
      <c r="G142" s="11">
        <f>SUM(G83:G141)</f>
        <v>56320833.330000013</v>
      </c>
      <c r="H142" s="24"/>
    </row>
    <row r="143" spans="1:10" ht="18" customHeight="1" x14ac:dyDescent="0.2">
      <c r="A143" s="56"/>
      <c r="B143" s="55" t="s">
        <v>38</v>
      </c>
      <c r="C143" s="55"/>
      <c r="D143" s="55"/>
      <c r="E143" s="11">
        <f>G143</f>
        <v>3272892.48</v>
      </c>
      <c r="F143" s="11">
        <f>F88</f>
        <v>0</v>
      </c>
      <c r="G143" s="11">
        <f>G88+2500000</f>
        <v>3272892.48</v>
      </c>
      <c r="H143" s="24"/>
      <c r="I143" s="24"/>
      <c r="J143" s="24"/>
    </row>
    <row r="144" spans="1:10" ht="45" customHeight="1" x14ac:dyDescent="0.2">
      <c r="A144" s="34" t="s">
        <v>100</v>
      </c>
      <c r="B144" s="17" t="s">
        <v>97</v>
      </c>
      <c r="C144" s="39" t="s">
        <v>173</v>
      </c>
      <c r="D144" s="56" t="s">
        <v>224</v>
      </c>
      <c r="E144" s="18">
        <f t="shared" ref="E144:E145" si="3">F144+G144</f>
        <v>3411700</v>
      </c>
      <c r="F144" s="19"/>
      <c r="G144" s="20">
        <f>720000+2691700</f>
        <v>3411700</v>
      </c>
      <c r="H144" s="24"/>
    </row>
    <row r="145" spans="1:8" ht="45" customHeight="1" x14ac:dyDescent="0.2">
      <c r="A145" s="34"/>
      <c r="B145" s="17" t="s">
        <v>166</v>
      </c>
      <c r="C145" s="39" t="s">
        <v>167</v>
      </c>
      <c r="D145" s="56"/>
      <c r="E145" s="18">
        <f t="shared" si="3"/>
        <v>1676800</v>
      </c>
      <c r="F145" s="19"/>
      <c r="G145" s="20">
        <v>1676800</v>
      </c>
      <c r="H145" s="24"/>
    </row>
    <row r="146" spans="1:8" ht="17.25" customHeight="1" x14ac:dyDescent="0.2">
      <c r="A146" s="21"/>
      <c r="B146" s="55" t="s">
        <v>34</v>
      </c>
      <c r="C146" s="55"/>
      <c r="D146" s="55"/>
      <c r="E146" s="11">
        <f>E144+E145</f>
        <v>5088500</v>
      </c>
      <c r="F146" s="11">
        <f>F144+F145</f>
        <v>0</v>
      </c>
      <c r="G146" s="11">
        <f>G144+G145</f>
        <v>5088500</v>
      </c>
    </row>
    <row r="147" spans="1:8" ht="18.75" customHeight="1" x14ac:dyDescent="0.2">
      <c r="A147" s="21"/>
      <c r="B147" s="55" t="s">
        <v>38</v>
      </c>
      <c r="C147" s="55"/>
      <c r="D147" s="55"/>
      <c r="E147" s="11">
        <v>0</v>
      </c>
      <c r="F147" s="11">
        <f>F143+F82</f>
        <v>0</v>
      </c>
      <c r="G147" s="11">
        <v>0</v>
      </c>
    </row>
    <row r="148" spans="1:8" ht="45" customHeight="1" x14ac:dyDescent="0.2">
      <c r="A148" s="56" t="s">
        <v>121</v>
      </c>
      <c r="B148" s="17" t="s">
        <v>122</v>
      </c>
      <c r="C148" s="39" t="s">
        <v>159</v>
      </c>
      <c r="D148" s="56" t="s">
        <v>224</v>
      </c>
      <c r="E148" s="18">
        <f t="shared" ref="E148" si="4">F148+G148</f>
        <v>4484200</v>
      </c>
      <c r="F148" s="19"/>
      <c r="G148" s="20">
        <f>1948000+200000+388200+1948000</f>
        <v>4484200</v>
      </c>
    </row>
    <row r="149" spans="1:8" ht="18" customHeight="1" x14ac:dyDescent="0.2">
      <c r="A149" s="56"/>
      <c r="B149" s="51" t="s">
        <v>157</v>
      </c>
      <c r="C149" s="39" t="s">
        <v>158</v>
      </c>
      <c r="D149" s="56"/>
      <c r="E149" s="52">
        <f>G149</f>
        <v>550000</v>
      </c>
      <c r="F149" s="54"/>
      <c r="G149" s="53">
        <v>550000</v>
      </c>
    </row>
    <row r="150" spans="1:8" ht="25.5" x14ac:dyDescent="0.2">
      <c r="A150" s="56"/>
      <c r="B150" s="51"/>
      <c r="C150" s="39" t="s">
        <v>168</v>
      </c>
      <c r="D150" s="56"/>
      <c r="E150" s="52"/>
      <c r="F150" s="54"/>
      <c r="G150" s="53"/>
    </row>
    <row r="151" spans="1:8" ht="17.25" customHeight="1" x14ac:dyDescent="0.2">
      <c r="A151" s="21"/>
      <c r="B151" s="55" t="s">
        <v>34</v>
      </c>
      <c r="C151" s="55"/>
      <c r="D151" s="55"/>
      <c r="E151" s="11">
        <f t="shared" ref="E151:F151" si="5">E149+E148</f>
        <v>5034200</v>
      </c>
      <c r="F151" s="11">
        <f t="shared" si="5"/>
        <v>0</v>
      </c>
      <c r="G151" s="11">
        <f>G148+G149</f>
        <v>5034200</v>
      </c>
    </row>
    <row r="152" spans="1:8" ht="15.75" customHeight="1" x14ac:dyDescent="0.2">
      <c r="A152" s="21"/>
      <c r="B152" s="55" t="s">
        <v>38</v>
      </c>
      <c r="C152" s="55"/>
      <c r="D152" s="55"/>
      <c r="E152" s="11">
        <v>0</v>
      </c>
      <c r="F152" s="11">
        <f>F147+F88</f>
        <v>0</v>
      </c>
      <c r="G152" s="11">
        <v>0</v>
      </c>
    </row>
    <row r="153" spans="1:8" ht="15.75" customHeight="1" x14ac:dyDescent="0.2">
      <c r="A153" s="21"/>
      <c r="B153" s="55" t="s">
        <v>34</v>
      </c>
      <c r="C153" s="55"/>
      <c r="D153" s="55"/>
      <c r="E153" s="11">
        <f>E146+E142+E81+E151</f>
        <v>109626014.25920002</v>
      </c>
      <c r="F153" s="11">
        <f>F146+F142+F81+F151</f>
        <v>2295000</v>
      </c>
      <c r="G153" s="11">
        <f>G146+G142+G81+G151</f>
        <v>107331014.25920002</v>
      </c>
    </row>
    <row r="154" spans="1:8" ht="17.25" customHeight="1" x14ac:dyDescent="0.2">
      <c r="A154" s="21"/>
      <c r="B154" s="55" t="s">
        <v>38</v>
      </c>
      <c r="C154" s="55"/>
      <c r="D154" s="55"/>
      <c r="E154" s="11">
        <f>E147+E143+E82</f>
        <v>3480092.48</v>
      </c>
      <c r="F154" s="11">
        <f>F147+F143+F82</f>
        <v>0</v>
      </c>
      <c r="G154" s="11">
        <f>G147+G143+G82</f>
        <v>3480092.48</v>
      </c>
    </row>
  </sheetData>
  <autoFilter ref="A9:G143"/>
  <mergeCells count="178">
    <mergeCell ref="A6:G6"/>
    <mergeCell ref="F128:F131"/>
    <mergeCell ref="B88:B89"/>
    <mergeCell ref="G88:G89"/>
    <mergeCell ref="E88:E89"/>
    <mergeCell ref="F88:F89"/>
    <mergeCell ref="G27:G28"/>
    <mergeCell ref="E27:E28"/>
    <mergeCell ref="F27:F28"/>
    <mergeCell ref="G20:G23"/>
    <mergeCell ref="E20:E23"/>
    <mergeCell ref="F20:F23"/>
    <mergeCell ref="G70:G71"/>
    <mergeCell ref="E70:E71"/>
    <mergeCell ref="F70:F71"/>
    <mergeCell ref="F37:F38"/>
    <mergeCell ref="G57:G60"/>
    <mergeCell ref="E57:E60"/>
    <mergeCell ref="F57:F60"/>
    <mergeCell ref="G50:G52"/>
    <mergeCell ref="E50:E52"/>
    <mergeCell ref="F50:F52"/>
    <mergeCell ref="G39:G40"/>
    <mergeCell ref="E39:E40"/>
    <mergeCell ref="A148:A150"/>
    <mergeCell ref="B27:B28"/>
    <mergeCell ref="B117:B118"/>
    <mergeCell ref="E117:E118"/>
    <mergeCell ref="G117:G118"/>
    <mergeCell ref="F117:F118"/>
    <mergeCell ref="G47:G49"/>
    <mergeCell ref="E47:E49"/>
    <mergeCell ref="F47:F49"/>
    <mergeCell ref="B47:B49"/>
    <mergeCell ref="B35:B36"/>
    <mergeCell ref="G35:G36"/>
    <mergeCell ref="F35:F36"/>
    <mergeCell ref="E35:E36"/>
    <mergeCell ref="G149:G150"/>
    <mergeCell ref="E149:E150"/>
    <mergeCell ref="F149:F150"/>
    <mergeCell ref="D148:D150"/>
    <mergeCell ref="B149:B150"/>
    <mergeCell ref="B115:B116"/>
    <mergeCell ref="B95:B96"/>
    <mergeCell ref="B83:B87"/>
    <mergeCell ref="B111:B114"/>
    <mergeCell ref="D144:D145"/>
    <mergeCell ref="G12:G16"/>
    <mergeCell ref="F12:F16"/>
    <mergeCell ref="E12:E16"/>
    <mergeCell ref="D10:D79"/>
    <mergeCell ref="B37:B38"/>
    <mergeCell ref="G37:G38"/>
    <mergeCell ref="E37:E38"/>
    <mergeCell ref="B10:B11"/>
    <mergeCell ref="B72:B73"/>
    <mergeCell ref="F53:F54"/>
    <mergeCell ref="E53:E54"/>
    <mergeCell ref="G41:G42"/>
    <mergeCell ref="E41:E42"/>
    <mergeCell ref="F41:F42"/>
    <mergeCell ref="B136:B137"/>
    <mergeCell ref="B138:B141"/>
    <mergeCell ref="B119:B120"/>
    <mergeCell ref="B100:B101"/>
    <mergeCell ref="F39:F40"/>
    <mergeCell ref="G45:G46"/>
    <mergeCell ref="E45:E46"/>
    <mergeCell ref="F45:F46"/>
    <mergeCell ref="B53:B54"/>
    <mergeCell ref="G53:G54"/>
    <mergeCell ref="B82:D82"/>
    <mergeCell ref="G138:G140"/>
    <mergeCell ref="E138:E140"/>
    <mergeCell ref="F138:F140"/>
    <mergeCell ref="F106:F110"/>
    <mergeCell ref="G90:G94"/>
    <mergeCell ref="E90:E94"/>
    <mergeCell ref="F90:F94"/>
    <mergeCell ref="G95:G96"/>
    <mergeCell ref="E95:E96"/>
    <mergeCell ref="F95:F96"/>
    <mergeCell ref="G97:G99"/>
    <mergeCell ref="B106:B110"/>
    <mergeCell ref="A83:A143"/>
    <mergeCell ref="A10:A82"/>
    <mergeCell ref="B20:B23"/>
    <mergeCell ref="B12:B16"/>
    <mergeCell ref="B57:B60"/>
    <mergeCell ref="B41:B42"/>
    <mergeCell ref="B45:B46"/>
    <mergeCell ref="B50:B52"/>
    <mergeCell ref="B70:B71"/>
    <mergeCell ref="B77:B79"/>
    <mergeCell ref="B90:B94"/>
    <mergeCell ref="B128:B131"/>
    <mergeCell ref="B97:B99"/>
    <mergeCell ref="B143:D143"/>
    <mergeCell ref="B81:D81"/>
    <mergeCell ref="B142:D142"/>
    <mergeCell ref="B39:B40"/>
    <mergeCell ref="A8:A9"/>
    <mergeCell ref="B8:B9"/>
    <mergeCell ref="C8:C9"/>
    <mergeCell ref="D8:D9"/>
    <mergeCell ref="E8:E9"/>
    <mergeCell ref="E24:E25"/>
    <mergeCell ref="F24:F25"/>
    <mergeCell ref="B30:B34"/>
    <mergeCell ref="E30:E34"/>
    <mergeCell ref="F30:F34"/>
    <mergeCell ref="B24:B25"/>
    <mergeCell ref="F8:G8"/>
    <mergeCell ref="G24:G25"/>
    <mergeCell ref="G30:G34"/>
    <mergeCell ref="G10:G11"/>
    <mergeCell ref="E10:E11"/>
    <mergeCell ref="F10:F11"/>
    <mergeCell ref="G119:G120"/>
    <mergeCell ref="E97:E99"/>
    <mergeCell ref="E119:E120"/>
    <mergeCell ref="G115:G116"/>
    <mergeCell ref="E115:E116"/>
    <mergeCell ref="F115:F116"/>
    <mergeCell ref="G100:G101"/>
    <mergeCell ref="E106:E110"/>
    <mergeCell ref="G106:G110"/>
    <mergeCell ref="E100:E101"/>
    <mergeCell ref="F100:F101"/>
    <mergeCell ref="G128:G131"/>
    <mergeCell ref="E128:E131"/>
    <mergeCell ref="B153:D153"/>
    <mergeCell ref="B154:D154"/>
    <mergeCell ref="B146:D146"/>
    <mergeCell ref="B147:D147"/>
    <mergeCell ref="B151:D151"/>
    <mergeCell ref="B152:D152"/>
    <mergeCell ref="F119:F120"/>
    <mergeCell ref="G136:G137"/>
    <mergeCell ref="E136:E137"/>
    <mergeCell ref="F136:F137"/>
    <mergeCell ref="B123:B127"/>
    <mergeCell ref="G123:G127"/>
    <mergeCell ref="E123:E127"/>
    <mergeCell ref="F123:F127"/>
    <mergeCell ref="F132:F135"/>
    <mergeCell ref="G132:G135"/>
    <mergeCell ref="E132:E135"/>
    <mergeCell ref="B132:B135"/>
    <mergeCell ref="D83:D140"/>
    <mergeCell ref="F97:F99"/>
    <mergeCell ref="G111:G114"/>
    <mergeCell ref="E111:E114"/>
    <mergeCell ref="G18:G19"/>
    <mergeCell ref="E18:E19"/>
    <mergeCell ref="F18:F19"/>
    <mergeCell ref="B43:B44"/>
    <mergeCell ref="G43:G44"/>
    <mergeCell ref="F43:F44"/>
    <mergeCell ref="E43:E44"/>
    <mergeCell ref="B104:B105"/>
    <mergeCell ref="G104:G105"/>
    <mergeCell ref="E104:E105"/>
    <mergeCell ref="F104:F105"/>
    <mergeCell ref="B66:B67"/>
    <mergeCell ref="G66:G67"/>
    <mergeCell ref="E66:E67"/>
    <mergeCell ref="F66:F67"/>
    <mergeCell ref="E72:E73"/>
    <mergeCell ref="G72:G73"/>
    <mergeCell ref="F72:F73"/>
    <mergeCell ref="G77:G79"/>
    <mergeCell ref="E77:E79"/>
    <mergeCell ref="F77:F79"/>
    <mergeCell ref="G83:G87"/>
    <mergeCell ref="E83:E87"/>
    <mergeCell ref="F83:F87"/>
  </mergeCells>
  <phoneticPr fontId="6" type="noConversion"/>
  <pageMargins left="0.70866141732283472" right="0.31496062992125984" top="0.35433070866141736" bottom="0.35433070866141736" header="0.11811023622047245" footer="0.11811023622047245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Normal="100" workbookViewId="0">
      <selection activeCell="I7" sqref="I7"/>
    </sheetView>
  </sheetViews>
  <sheetFormatPr defaultColWidth="9.140625" defaultRowHeight="12.75" x14ac:dyDescent="0.2"/>
  <cols>
    <col min="1" max="1" width="47.28515625" style="1" customWidth="1"/>
    <col min="2" max="2" width="33.5703125" style="2" customWidth="1"/>
    <col min="3" max="3" width="2.85546875" style="3" hidden="1" customWidth="1"/>
    <col min="4" max="4" width="14.85546875" style="10" customWidth="1"/>
    <col min="5" max="5" width="16" style="47" customWidth="1"/>
    <col min="6" max="6" width="16.28515625" style="23" customWidth="1"/>
    <col min="7" max="7" width="13.85546875" style="3" bestFit="1" customWidth="1"/>
    <col min="8" max="16384" width="9.140625" style="3"/>
  </cols>
  <sheetData>
    <row r="1" spans="1:6" s="7" customFormat="1" ht="17.25" customHeight="1" x14ac:dyDescent="0.3">
      <c r="A1" s="6"/>
      <c r="C1" s="8"/>
      <c r="D1" s="44"/>
      <c r="E1" s="41" t="s">
        <v>225</v>
      </c>
    </row>
    <row r="2" spans="1:6" s="7" customFormat="1" ht="14.25" customHeight="1" x14ac:dyDescent="0.3">
      <c r="A2" s="6"/>
      <c r="C2" s="8"/>
      <c r="D2" s="44"/>
      <c r="E2" s="41" t="s">
        <v>215</v>
      </c>
    </row>
    <row r="3" spans="1:6" s="7" customFormat="1" ht="14.25" customHeight="1" x14ac:dyDescent="0.3">
      <c r="A3" s="6"/>
      <c r="C3" s="8"/>
      <c r="D3" s="44"/>
      <c r="E3" s="41" t="s">
        <v>216</v>
      </c>
    </row>
    <row r="4" spans="1:6" s="7" customFormat="1" ht="15.75" customHeight="1" x14ac:dyDescent="0.3">
      <c r="A4" s="6"/>
      <c r="C4" s="8"/>
      <c r="D4" s="44"/>
      <c r="E4" s="41" t="s">
        <v>217</v>
      </c>
    </row>
    <row r="5" spans="1:6" s="7" customFormat="1" ht="18" customHeight="1" x14ac:dyDescent="0.3">
      <c r="A5" s="6"/>
      <c r="C5" s="8"/>
      <c r="D5" s="44"/>
      <c r="E5" s="41" t="s">
        <v>230</v>
      </c>
    </row>
    <row r="6" spans="1:6" s="7" customFormat="1" ht="15.75" customHeight="1" x14ac:dyDescent="0.3">
      <c r="A6" s="6"/>
      <c r="C6" s="8"/>
      <c r="D6" s="44"/>
      <c r="E6" s="44"/>
      <c r="F6" s="44"/>
    </row>
    <row r="7" spans="1:6" s="7" customFormat="1" ht="57.75" customHeight="1" x14ac:dyDescent="0.2">
      <c r="A7" s="64" t="s">
        <v>227</v>
      </c>
      <c r="B7" s="64"/>
      <c r="C7" s="64"/>
      <c r="D7" s="64"/>
      <c r="E7" s="64"/>
      <c r="F7" s="64"/>
    </row>
    <row r="8" spans="1:6" ht="12.75" customHeight="1" x14ac:dyDescent="0.3">
      <c r="D8" s="70"/>
      <c r="E8" s="70"/>
      <c r="F8" s="70"/>
    </row>
    <row r="9" spans="1:6" ht="12" customHeight="1" x14ac:dyDescent="0.2">
      <c r="B9" s="15"/>
      <c r="C9" s="4"/>
      <c r="D9" s="31"/>
      <c r="E9" s="45"/>
      <c r="F9" s="23" t="s">
        <v>219</v>
      </c>
    </row>
    <row r="10" spans="1:6" x14ac:dyDescent="0.2">
      <c r="A10" s="56" t="s">
        <v>0</v>
      </c>
      <c r="B10" s="56" t="s">
        <v>1</v>
      </c>
      <c r="C10" s="56" t="s">
        <v>2</v>
      </c>
      <c r="D10" s="49" t="s">
        <v>3</v>
      </c>
      <c r="E10" s="56" t="s">
        <v>4</v>
      </c>
      <c r="F10" s="56"/>
    </row>
    <row r="11" spans="1:6" ht="38.25" x14ac:dyDescent="0.2">
      <c r="A11" s="56"/>
      <c r="B11" s="56"/>
      <c r="C11" s="56"/>
      <c r="D11" s="49"/>
      <c r="E11" s="34" t="s">
        <v>226</v>
      </c>
      <c r="F11" s="33" t="s">
        <v>221</v>
      </c>
    </row>
    <row r="12" spans="1:6" ht="18" customHeight="1" x14ac:dyDescent="0.2">
      <c r="A12" s="35" t="s">
        <v>50</v>
      </c>
      <c r="B12" s="35" t="s">
        <v>49</v>
      </c>
      <c r="C12" s="56"/>
      <c r="D12" s="37">
        <f>F12</f>
        <v>300000</v>
      </c>
      <c r="E12" s="46">
        <v>0</v>
      </c>
      <c r="F12" s="37">
        <v>300000</v>
      </c>
    </row>
    <row r="13" spans="1:6" ht="16.5" customHeight="1" x14ac:dyDescent="0.2">
      <c r="A13" s="35" t="s">
        <v>127</v>
      </c>
      <c r="B13" s="35" t="s">
        <v>89</v>
      </c>
      <c r="C13" s="56"/>
      <c r="D13" s="37">
        <f>F13</f>
        <v>182600</v>
      </c>
      <c r="E13" s="46">
        <v>0</v>
      </c>
      <c r="F13" s="37">
        <v>182600</v>
      </c>
    </row>
    <row r="14" spans="1:6" ht="16.5" customHeight="1" x14ac:dyDescent="0.2">
      <c r="A14" s="35" t="s">
        <v>106</v>
      </c>
      <c r="B14" s="35" t="s">
        <v>49</v>
      </c>
      <c r="C14" s="56"/>
      <c r="D14" s="37">
        <f>F14</f>
        <v>335000</v>
      </c>
      <c r="E14" s="46">
        <v>0</v>
      </c>
      <c r="F14" s="37">
        <v>335000</v>
      </c>
    </row>
    <row r="15" spans="1:6" ht="27" customHeight="1" x14ac:dyDescent="0.2">
      <c r="A15" s="65" t="s">
        <v>87</v>
      </c>
      <c r="B15" s="35" t="s">
        <v>88</v>
      </c>
      <c r="C15" s="56"/>
      <c r="D15" s="48">
        <v>75500</v>
      </c>
      <c r="E15" s="66">
        <v>0</v>
      </c>
      <c r="F15" s="48">
        <v>75500</v>
      </c>
    </row>
    <row r="16" spans="1:6" x14ac:dyDescent="0.2">
      <c r="A16" s="65"/>
      <c r="B16" s="35" t="s">
        <v>89</v>
      </c>
      <c r="C16" s="56"/>
      <c r="D16" s="48"/>
      <c r="E16" s="66"/>
      <c r="F16" s="48"/>
    </row>
    <row r="17" spans="1:7" ht="18.75" customHeight="1" x14ac:dyDescent="0.2">
      <c r="A17" s="35" t="s">
        <v>61</v>
      </c>
      <c r="B17" s="35" t="s">
        <v>62</v>
      </c>
      <c r="C17" s="56"/>
      <c r="D17" s="37">
        <f t="shared" ref="D17:D29" si="0">F17</f>
        <v>110000</v>
      </c>
      <c r="E17" s="46">
        <v>0</v>
      </c>
      <c r="F17" s="37">
        <v>110000</v>
      </c>
    </row>
    <row r="18" spans="1:7" ht="16.5" customHeight="1" x14ac:dyDescent="0.2">
      <c r="A18" s="65" t="s">
        <v>112</v>
      </c>
      <c r="B18" s="35" t="s">
        <v>89</v>
      </c>
      <c r="C18" s="56"/>
      <c r="D18" s="37">
        <f t="shared" si="0"/>
        <v>71500</v>
      </c>
      <c r="E18" s="46">
        <v>0</v>
      </c>
      <c r="F18" s="37">
        <v>71500</v>
      </c>
    </row>
    <row r="19" spans="1:7" x14ac:dyDescent="0.2">
      <c r="A19" s="65"/>
      <c r="B19" s="35" t="s">
        <v>123</v>
      </c>
      <c r="C19" s="56"/>
      <c r="D19" s="37">
        <f t="shared" si="0"/>
        <v>440000</v>
      </c>
      <c r="E19" s="46"/>
      <c r="F19" s="37">
        <v>440000</v>
      </c>
    </row>
    <row r="20" spans="1:7" ht="15.75" customHeight="1" x14ac:dyDescent="0.2">
      <c r="A20" s="68" t="s">
        <v>56</v>
      </c>
      <c r="B20" s="35" t="s">
        <v>49</v>
      </c>
      <c r="C20" s="56"/>
      <c r="D20" s="37">
        <f t="shared" si="0"/>
        <v>350000</v>
      </c>
      <c r="E20" s="46">
        <v>0</v>
      </c>
      <c r="F20" s="37">
        <v>350000</v>
      </c>
    </row>
    <row r="21" spans="1:7" ht="25.5" x14ac:dyDescent="0.2">
      <c r="A21" s="68"/>
      <c r="B21" s="35" t="s">
        <v>108</v>
      </c>
      <c r="C21" s="56"/>
      <c r="D21" s="37">
        <f t="shared" si="0"/>
        <v>128180.59</v>
      </c>
      <c r="E21" s="46">
        <v>0</v>
      </c>
      <c r="F21" s="37">
        <v>128180.59</v>
      </c>
    </row>
    <row r="22" spans="1:7" ht="18" customHeight="1" x14ac:dyDescent="0.2">
      <c r="A22" s="35" t="s">
        <v>57</v>
      </c>
      <c r="B22" s="35" t="s">
        <v>49</v>
      </c>
      <c r="C22" s="56"/>
      <c r="D22" s="37">
        <f t="shared" si="0"/>
        <v>350000</v>
      </c>
      <c r="E22" s="46">
        <v>0</v>
      </c>
      <c r="F22" s="37">
        <v>350000</v>
      </c>
    </row>
    <row r="23" spans="1:7" x14ac:dyDescent="0.2">
      <c r="A23" s="35" t="s">
        <v>77</v>
      </c>
      <c r="B23" s="35" t="s">
        <v>89</v>
      </c>
      <c r="C23" s="56"/>
      <c r="D23" s="37">
        <f t="shared" si="0"/>
        <v>154800</v>
      </c>
      <c r="E23" s="46">
        <v>0</v>
      </c>
      <c r="F23" s="37">
        <v>154800</v>
      </c>
    </row>
    <row r="24" spans="1:7" x14ac:dyDescent="0.2">
      <c r="A24" s="35" t="s">
        <v>83</v>
      </c>
      <c r="B24" s="35" t="s">
        <v>49</v>
      </c>
      <c r="C24" s="56"/>
      <c r="D24" s="37">
        <f t="shared" si="0"/>
        <v>680000</v>
      </c>
      <c r="E24" s="46">
        <v>0</v>
      </c>
      <c r="F24" s="37">
        <v>680000</v>
      </c>
    </row>
    <row r="25" spans="1:7" x14ac:dyDescent="0.2">
      <c r="A25" s="35" t="s">
        <v>54</v>
      </c>
      <c r="B25" s="35" t="s">
        <v>49</v>
      </c>
      <c r="C25" s="56"/>
      <c r="D25" s="37">
        <f t="shared" si="0"/>
        <v>558000</v>
      </c>
      <c r="E25" s="46">
        <v>0</v>
      </c>
      <c r="F25" s="37">
        <v>558000</v>
      </c>
    </row>
    <row r="26" spans="1:7" x14ac:dyDescent="0.2">
      <c r="A26" s="65" t="s">
        <v>101</v>
      </c>
      <c r="B26" s="35" t="s">
        <v>49</v>
      </c>
      <c r="C26" s="56"/>
      <c r="D26" s="37">
        <f t="shared" si="0"/>
        <v>358143.13</v>
      </c>
      <c r="E26" s="46">
        <v>0</v>
      </c>
      <c r="F26" s="37">
        <v>358143.13</v>
      </c>
    </row>
    <row r="27" spans="1:7" ht="32.25" customHeight="1" x14ac:dyDescent="0.2">
      <c r="A27" s="65"/>
      <c r="B27" s="35" t="s">
        <v>189</v>
      </c>
      <c r="C27" s="56"/>
      <c r="D27" s="37">
        <f t="shared" si="0"/>
        <v>190000</v>
      </c>
      <c r="E27" s="46">
        <v>0</v>
      </c>
      <c r="F27" s="37">
        <v>190000</v>
      </c>
      <c r="G27" s="30"/>
    </row>
    <row r="28" spans="1:7" ht="25.5" x14ac:dyDescent="0.2">
      <c r="A28" s="35" t="s">
        <v>110</v>
      </c>
      <c r="B28" s="35" t="s">
        <v>111</v>
      </c>
      <c r="C28" s="56"/>
      <c r="D28" s="37">
        <f t="shared" si="0"/>
        <v>37100</v>
      </c>
      <c r="E28" s="46">
        <v>0</v>
      </c>
      <c r="F28" s="37">
        <v>37100</v>
      </c>
    </row>
    <row r="29" spans="1:7" x14ac:dyDescent="0.2">
      <c r="A29" s="35" t="s">
        <v>124</v>
      </c>
      <c r="B29" s="35" t="s">
        <v>114</v>
      </c>
      <c r="C29" s="56"/>
      <c r="D29" s="37">
        <f t="shared" si="0"/>
        <v>49750</v>
      </c>
      <c r="E29" s="46">
        <v>0</v>
      </c>
      <c r="F29" s="37">
        <v>49750</v>
      </c>
    </row>
    <row r="30" spans="1:7" ht="25.5" x14ac:dyDescent="0.2">
      <c r="A30" s="50" t="s">
        <v>5</v>
      </c>
      <c r="B30" s="39" t="s">
        <v>6</v>
      </c>
      <c r="C30" s="56"/>
      <c r="D30" s="11">
        <f t="shared" ref="D30:D33" si="1">E30+F30</f>
        <v>878460</v>
      </c>
      <c r="E30" s="46">
        <v>0</v>
      </c>
      <c r="F30" s="11">
        <v>878460</v>
      </c>
    </row>
    <row r="31" spans="1:7" x14ac:dyDescent="0.2">
      <c r="A31" s="50"/>
      <c r="B31" s="39" t="s">
        <v>49</v>
      </c>
      <c r="C31" s="56"/>
      <c r="D31" s="11">
        <f t="shared" si="1"/>
        <v>350000</v>
      </c>
      <c r="E31" s="46">
        <v>0</v>
      </c>
      <c r="F31" s="11">
        <v>350000</v>
      </c>
    </row>
    <row r="32" spans="1:7" x14ac:dyDescent="0.2">
      <c r="A32" s="35" t="s">
        <v>103</v>
      </c>
      <c r="B32" s="35" t="s">
        <v>114</v>
      </c>
      <c r="C32" s="56"/>
      <c r="D32" s="11">
        <f t="shared" si="1"/>
        <v>200000</v>
      </c>
      <c r="E32" s="46">
        <v>0</v>
      </c>
      <c r="F32" s="11">
        <v>200000</v>
      </c>
    </row>
    <row r="33" spans="1:6" ht="25.5" x14ac:dyDescent="0.2">
      <c r="A33" s="35" t="s">
        <v>185</v>
      </c>
      <c r="B33" s="35" t="s">
        <v>187</v>
      </c>
      <c r="C33" s="56"/>
      <c r="D33" s="11">
        <f t="shared" si="1"/>
        <v>250000</v>
      </c>
      <c r="E33" s="46">
        <v>0</v>
      </c>
      <c r="F33" s="11">
        <v>250000</v>
      </c>
    </row>
    <row r="34" spans="1:6" ht="25.5" x14ac:dyDescent="0.2">
      <c r="A34" s="67" t="s">
        <v>55</v>
      </c>
      <c r="B34" s="39" t="s">
        <v>6</v>
      </c>
      <c r="C34" s="56"/>
      <c r="D34" s="11">
        <f t="shared" ref="D34:D37" si="2">E34+F34</f>
        <v>656434.30000000005</v>
      </c>
      <c r="E34" s="46">
        <v>0</v>
      </c>
      <c r="F34" s="11">
        <v>656434.30000000005</v>
      </c>
    </row>
    <row r="35" spans="1:6" ht="25.5" x14ac:dyDescent="0.2">
      <c r="A35" s="67"/>
      <c r="B35" s="39" t="s">
        <v>109</v>
      </c>
      <c r="C35" s="56"/>
      <c r="D35" s="11">
        <f t="shared" si="2"/>
        <v>165000</v>
      </c>
      <c r="E35" s="46">
        <v>0</v>
      </c>
      <c r="F35" s="11">
        <v>165000</v>
      </c>
    </row>
    <row r="36" spans="1:6" x14ac:dyDescent="0.2">
      <c r="A36" s="38" t="s">
        <v>132</v>
      </c>
      <c r="B36" s="39" t="s">
        <v>49</v>
      </c>
      <c r="C36" s="56"/>
      <c r="D36" s="11">
        <f t="shared" ref="D36" si="3">E36+F36</f>
        <v>150000</v>
      </c>
      <c r="E36" s="46">
        <v>0</v>
      </c>
      <c r="F36" s="11">
        <v>150000</v>
      </c>
    </row>
    <row r="37" spans="1:6" ht="24.75" customHeight="1" x14ac:dyDescent="0.2">
      <c r="A37" s="39" t="s">
        <v>131</v>
      </c>
      <c r="B37" s="39" t="s">
        <v>109</v>
      </c>
      <c r="C37" s="56"/>
      <c r="D37" s="11">
        <f t="shared" si="2"/>
        <v>139400</v>
      </c>
      <c r="E37" s="46">
        <v>0</v>
      </c>
      <c r="F37" s="11">
        <v>139400</v>
      </c>
    </row>
    <row r="38" spans="1:6" ht="27.75" customHeight="1" x14ac:dyDescent="0.2">
      <c r="A38" s="39" t="s">
        <v>7</v>
      </c>
      <c r="B38" s="39" t="s">
        <v>6</v>
      </c>
      <c r="C38" s="56"/>
      <c r="D38" s="11">
        <f t="shared" ref="D38:D76" si="4">F38</f>
        <v>914760</v>
      </c>
      <c r="E38" s="46">
        <v>0</v>
      </c>
      <c r="F38" s="11">
        <v>914760</v>
      </c>
    </row>
    <row r="39" spans="1:6" ht="25.5" x14ac:dyDescent="0.2">
      <c r="A39" s="39" t="s">
        <v>8</v>
      </c>
      <c r="B39" s="39" t="s">
        <v>6</v>
      </c>
      <c r="C39" s="56"/>
      <c r="D39" s="11">
        <f t="shared" si="4"/>
        <v>2368800</v>
      </c>
      <c r="E39" s="46">
        <v>0</v>
      </c>
      <c r="F39" s="11">
        <v>2368800</v>
      </c>
    </row>
    <row r="40" spans="1:6" x14ac:dyDescent="0.2">
      <c r="A40" s="39" t="s">
        <v>9</v>
      </c>
      <c r="B40" s="39" t="s">
        <v>117</v>
      </c>
      <c r="C40" s="56"/>
      <c r="D40" s="11">
        <f t="shared" si="4"/>
        <v>34255.14</v>
      </c>
      <c r="E40" s="46">
        <v>0</v>
      </c>
      <c r="F40" s="11">
        <f>8371.53+25883.61</f>
        <v>34255.14</v>
      </c>
    </row>
    <row r="41" spans="1:6" ht="25.5" x14ac:dyDescent="0.2">
      <c r="A41" s="39" t="s">
        <v>10</v>
      </c>
      <c r="B41" s="39" t="s">
        <v>6</v>
      </c>
      <c r="C41" s="56"/>
      <c r="D41" s="11">
        <f t="shared" si="4"/>
        <v>753444.5</v>
      </c>
      <c r="E41" s="46">
        <v>0</v>
      </c>
      <c r="F41" s="11">
        <v>753444.5</v>
      </c>
    </row>
    <row r="42" spans="1:6" ht="25.5" x14ac:dyDescent="0.2">
      <c r="A42" s="39" t="s">
        <v>11</v>
      </c>
      <c r="B42" s="39" t="s">
        <v>6</v>
      </c>
      <c r="C42" s="56"/>
      <c r="D42" s="11">
        <f t="shared" si="4"/>
        <v>755280.9</v>
      </c>
      <c r="E42" s="46">
        <v>0</v>
      </c>
      <c r="F42" s="11">
        <v>755280.9</v>
      </c>
    </row>
    <row r="43" spans="1:6" ht="25.5" x14ac:dyDescent="0.2">
      <c r="A43" s="67" t="s">
        <v>12</v>
      </c>
      <c r="B43" s="39" t="s">
        <v>6</v>
      </c>
      <c r="C43" s="56"/>
      <c r="D43" s="11">
        <f t="shared" si="4"/>
        <v>1850800</v>
      </c>
      <c r="E43" s="46">
        <v>0</v>
      </c>
      <c r="F43" s="11">
        <v>1850800</v>
      </c>
    </row>
    <row r="44" spans="1:6" ht="25.5" x14ac:dyDescent="0.2">
      <c r="A44" s="67"/>
      <c r="B44" s="39" t="s">
        <v>134</v>
      </c>
      <c r="C44" s="56"/>
      <c r="D44" s="11">
        <f t="shared" si="4"/>
        <v>443826.24</v>
      </c>
      <c r="E44" s="46">
        <v>0</v>
      </c>
      <c r="F44" s="11">
        <v>443826.24</v>
      </c>
    </row>
    <row r="45" spans="1:6" ht="18" customHeight="1" x14ac:dyDescent="0.2">
      <c r="A45" s="67"/>
      <c r="B45" s="39" t="s">
        <v>113</v>
      </c>
      <c r="C45" s="56"/>
      <c r="D45" s="11">
        <f t="shared" si="4"/>
        <v>231992.52</v>
      </c>
      <c r="E45" s="46">
        <v>0</v>
      </c>
      <c r="F45" s="11">
        <v>231992.52</v>
      </c>
    </row>
    <row r="46" spans="1:6" ht="25.5" x14ac:dyDescent="0.2">
      <c r="A46" s="39" t="s">
        <v>13</v>
      </c>
      <c r="B46" s="39" t="s">
        <v>6</v>
      </c>
      <c r="C46" s="56"/>
      <c r="D46" s="11">
        <f t="shared" si="4"/>
        <v>603900</v>
      </c>
      <c r="E46" s="46">
        <v>0</v>
      </c>
      <c r="F46" s="11">
        <v>603900</v>
      </c>
    </row>
    <row r="47" spans="1:6" ht="25.5" x14ac:dyDescent="0.2">
      <c r="A47" s="39" t="s">
        <v>14</v>
      </c>
      <c r="B47" s="39" t="s">
        <v>6</v>
      </c>
      <c r="C47" s="56"/>
      <c r="D47" s="11">
        <f t="shared" si="4"/>
        <v>667280</v>
      </c>
      <c r="E47" s="46">
        <v>0</v>
      </c>
      <c r="F47" s="11">
        <v>667280</v>
      </c>
    </row>
    <row r="48" spans="1:6" ht="25.5" x14ac:dyDescent="0.2">
      <c r="A48" s="39" t="s">
        <v>15</v>
      </c>
      <c r="B48" s="39" t="s">
        <v>6</v>
      </c>
      <c r="C48" s="56"/>
      <c r="D48" s="11">
        <f t="shared" si="4"/>
        <v>600000</v>
      </c>
      <c r="E48" s="46">
        <v>0</v>
      </c>
      <c r="F48" s="11">
        <v>600000</v>
      </c>
    </row>
    <row r="49" spans="1:6" x14ac:dyDescent="0.2">
      <c r="A49" s="39" t="s">
        <v>16</v>
      </c>
      <c r="B49" s="39" t="s">
        <v>49</v>
      </c>
      <c r="C49" s="56"/>
      <c r="D49" s="11">
        <f t="shared" si="4"/>
        <v>1575152.8</v>
      </c>
      <c r="E49" s="46"/>
      <c r="F49" s="11">
        <v>1575152.8</v>
      </c>
    </row>
    <row r="50" spans="1:6" ht="25.5" x14ac:dyDescent="0.2">
      <c r="A50" s="67" t="s">
        <v>17</v>
      </c>
      <c r="B50" s="39" t="s">
        <v>6</v>
      </c>
      <c r="C50" s="56"/>
      <c r="D50" s="11">
        <f t="shared" si="4"/>
        <v>1257600</v>
      </c>
      <c r="E50" s="46">
        <v>0</v>
      </c>
      <c r="F50" s="11">
        <v>1257600</v>
      </c>
    </row>
    <row r="51" spans="1:6" ht="38.25" x14ac:dyDescent="0.2">
      <c r="A51" s="67"/>
      <c r="B51" s="39" t="s">
        <v>107</v>
      </c>
      <c r="C51" s="56"/>
      <c r="D51" s="11">
        <f t="shared" si="4"/>
        <v>183968.26</v>
      </c>
      <c r="E51" s="46">
        <v>0</v>
      </c>
      <c r="F51" s="11">
        <v>183968.26</v>
      </c>
    </row>
    <row r="52" spans="1:6" x14ac:dyDescent="0.2">
      <c r="A52" s="67"/>
      <c r="B52" s="39" t="s">
        <v>49</v>
      </c>
      <c r="C52" s="56"/>
      <c r="D52" s="11">
        <f t="shared" si="4"/>
        <v>560611.4</v>
      </c>
      <c r="E52" s="46">
        <v>0</v>
      </c>
      <c r="F52" s="11">
        <v>560611.4</v>
      </c>
    </row>
    <row r="53" spans="1:6" ht="25.5" x14ac:dyDescent="0.2">
      <c r="A53" s="51" t="s">
        <v>18</v>
      </c>
      <c r="B53" s="39" t="s">
        <v>6</v>
      </c>
      <c r="C53" s="56"/>
      <c r="D53" s="11">
        <f t="shared" si="4"/>
        <v>1578706</v>
      </c>
      <c r="E53" s="46">
        <v>0</v>
      </c>
      <c r="F53" s="11">
        <v>1578706</v>
      </c>
    </row>
    <row r="54" spans="1:6" x14ac:dyDescent="0.2">
      <c r="A54" s="51"/>
      <c r="B54" s="39" t="s">
        <v>184</v>
      </c>
      <c r="C54" s="56"/>
      <c r="D54" s="11">
        <f t="shared" si="4"/>
        <v>300000</v>
      </c>
      <c r="E54" s="46">
        <v>0</v>
      </c>
      <c r="F54" s="11">
        <v>300000</v>
      </c>
    </row>
    <row r="55" spans="1:6" x14ac:dyDescent="0.2">
      <c r="A55" s="51"/>
      <c r="B55" s="39" t="s">
        <v>150</v>
      </c>
      <c r="C55" s="56"/>
      <c r="D55" s="11">
        <f t="shared" si="4"/>
        <v>158000</v>
      </c>
      <c r="E55" s="46">
        <v>0</v>
      </c>
      <c r="F55" s="11">
        <v>158000</v>
      </c>
    </row>
    <row r="56" spans="1:6" ht="25.5" x14ac:dyDescent="0.2">
      <c r="A56" s="50" t="s">
        <v>19</v>
      </c>
      <c r="B56" s="39" t="s">
        <v>6</v>
      </c>
      <c r="C56" s="56"/>
      <c r="D56" s="11">
        <f t="shared" si="4"/>
        <v>671680</v>
      </c>
      <c r="E56" s="46">
        <v>0</v>
      </c>
      <c r="F56" s="11">
        <v>671680</v>
      </c>
    </row>
    <row r="57" spans="1:6" ht="25.5" x14ac:dyDescent="0.2">
      <c r="A57" s="50"/>
      <c r="B57" s="39" t="s">
        <v>149</v>
      </c>
      <c r="C57" s="56"/>
      <c r="D57" s="11">
        <f t="shared" si="4"/>
        <v>60000</v>
      </c>
      <c r="E57" s="46">
        <v>0</v>
      </c>
      <c r="F57" s="11">
        <v>60000</v>
      </c>
    </row>
    <row r="58" spans="1:6" x14ac:dyDescent="0.2">
      <c r="A58" s="50"/>
      <c r="B58" s="39" t="s">
        <v>58</v>
      </c>
      <c r="C58" s="56"/>
      <c r="D58" s="11">
        <f t="shared" si="4"/>
        <v>180178</v>
      </c>
      <c r="E58" s="46">
        <v>0</v>
      </c>
      <c r="F58" s="11">
        <v>180178</v>
      </c>
    </row>
    <row r="59" spans="1:6" ht="25.5" x14ac:dyDescent="0.2">
      <c r="A59" s="38" t="s">
        <v>20</v>
      </c>
      <c r="B59" s="39" t="s">
        <v>6</v>
      </c>
      <c r="C59" s="56"/>
      <c r="D59" s="11">
        <f t="shared" si="4"/>
        <v>878202</v>
      </c>
      <c r="E59" s="46">
        <v>0</v>
      </c>
      <c r="F59" s="11">
        <v>878202</v>
      </c>
    </row>
    <row r="60" spans="1:6" ht="25.5" x14ac:dyDescent="0.2">
      <c r="A60" s="50" t="s">
        <v>21</v>
      </c>
      <c r="B60" s="39" t="s">
        <v>6</v>
      </c>
      <c r="C60" s="56"/>
      <c r="D60" s="11">
        <f t="shared" si="4"/>
        <v>940120</v>
      </c>
      <c r="E60" s="46">
        <v>0</v>
      </c>
      <c r="F60" s="11">
        <v>940120</v>
      </c>
    </row>
    <row r="61" spans="1:6" ht="38.25" x14ac:dyDescent="0.2">
      <c r="A61" s="50"/>
      <c r="B61" s="39" t="s">
        <v>133</v>
      </c>
      <c r="C61" s="56"/>
      <c r="D61" s="11">
        <f t="shared" si="4"/>
        <v>161950</v>
      </c>
      <c r="E61" s="46">
        <v>0</v>
      </c>
      <c r="F61" s="11">
        <v>161950</v>
      </c>
    </row>
    <row r="62" spans="1:6" ht="25.5" x14ac:dyDescent="0.2">
      <c r="A62" s="50"/>
      <c r="B62" s="39" t="s">
        <v>135</v>
      </c>
      <c r="C62" s="56"/>
      <c r="D62" s="11">
        <f t="shared" si="4"/>
        <v>198900</v>
      </c>
      <c r="E62" s="46">
        <v>0</v>
      </c>
      <c r="F62" s="11">
        <v>198900</v>
      </c>
    </row>
    <row r="63" spans="1:6" x14ac:dyDescent="0.2">
      <c r="A63" s="50"/>
      <c r="B63" s="39" t="s">
        <v>49</v>
      </c>
      <c r="C63" s="56"/>
      <c r="D63" s="11">
        <f t="shared" si="4"/>
        <v>41670</v>
      </c>
      <c r="E63" s="46">
        <v>0</v>
      </c>
      <c r="F63" s="11">
        <v>41670</v>
      </c>
    </row>
    <row r="64" spans="1:6" ht="25.5" x14ac:dyDescent="0.2">
      <c r="A64" s="50" t="s">
        <v>22</v>
      </c>
      <c r="B64" s="39" t="s">
        <v>6</v>
      </c>
      <c r="C64" s="56"/>
      <c r="D64" s="11">
        <f t="shared" si="4"/>
        <v>897000</v>
      </c>
      <c r="E64" s="46">
        <v>0</v>
      </c>
      <c r="F64" s="11">
        <f>663000+234000</f>
        <v>897000</v>
      </c>
    </row>
    <row r="65" spans="1:7" x14ac:dyDescent="0.2">
      <c r="A65" s="50"/>
      <c r="B65" s="39" t="s">
        <v>60</v>
      </c>
      <c r="C65" s="56"/>
      <c r="D65" s="11">
        <f t="shared" si="4"/>
        <v>92000</v>
      </c>
      <c r="E65" s="46">
        <v>0</v>
      </c>
      <c r="F65" s="11">
        <v>92000</v>
      </c>
    </row>
    <row r="66" spans="1:7" ht="25.5" x14ac:dyDescent="0.2">
      <c r="A66" s="50"/>
      <c r="B66" s="39" t="s">
        <v>53</v>
      </c>
      <c r="C66" s="56"/>
      <c r="D66" s="11">
        <f t="shared" si="4"/>
        <v>25570.52</v>
      </c>
      <c r="E66" s="46">
        <v>0</v>
      </c>
      <c r="F66" s="11">
        <v>25570.52</v>
      </c>
    </row>
    <row r="67" spans="1:7" ht="25.5" x14ac:dyDescent="0.2">
      <c r="A67" s="50"/>
      <c r="B67" s="39" t="s">
        <v>52</v>
      </c>
      <c r="C67" s="56"/>
      <c r="D67" s="11">
        <f t="shared" si="4"/>
        <v>70132.67</v>
      </c>
      <c r="E67" s="46">
        <v>0</v>
      </c>
      <c r="F67" s="11">
        <v>70132.67</v>
      </c>
    </row>
    <row r="68" spans="1:7" ht="25.5" x14ac:dyDescent="0.2">
      <c r="A68" s="50"/>
      <c r="B68" s="39" t="s">
        <v>51</v>
      </c>
      <c r="C68" s="56"/>
      <c r="D68" s="11">
        <f t="shared" si="4"/>
        <v>179604.07</v>
      </c>
      <c r="E68" s="46">
        <v>0</v>
      </c>
      <c r="F68" s="11">
        <f>179604.07</f>
        <v>179604.07</v>
      </c>
    </row>
    <row r="69" spans="1:7" ht="25.5" x14ac:dyDescent="0.2">
      <c r="A69" s="50" t="s">
        <v>23</v>
      </c>
      <c r="B69" s="39" t="s">
        <v>6</v>
      </c>
      <c r="C69" s="56"/>
      <c r="D69" s="11">
        <f t="shared" si="4"/>
        <v>1406400</v>
      </c>
      <c r="E69" s="46">
        <v>0</v>
      </c>
      <c r="F69" s="11">
        <v>1406400</v>
      </c>
    </row>
    <row r="70" spans="1:7" ht="25.5" x14ac:dyDescent="0.2">
      <c r="A70" s="50"/>
      <c r="B70" s="39" t="s">
        <v>149</v>
      </c>
      <c r="C70" s="56"/>
      <c r="D70" s="11">
        <f t="shared" si="4"/>
        <v>714885</v>
      </c>
      <c r="E70" s="46">
        <v>0</v>
      </c>
      <c r="F70" s="11">
        <v>714885</v>
      </c>
    </row>
    <row r="71" spans="1:7" ht="25.5" x14ac:dyDescent="0.2">
      <c r="A71" s="39" t="s">
        <v>24</v>
      </c>
      <c r="B71" s="39" t="s">
        <v>6</v>
      </c>
      <c r="C71" s="56"/>
      <c r="D71" s="11">
        <f t="shared" si="4"/>
        <v>2373110</v>
      </c>
      <c r="E71" s="46">
        <v>0</v>
      </c>
      <c r="F71" s="11">
        <v>2373110</v>
      </c>
    </row>
    <row r="72" spans="1:7" ht="25.5" x14ac:dyDescent="0.2">
      <c r="A72" s="39" t="s">
        <v>25</v>
      </c>
      <c r="B72" s="39" t="s">
        <v>6</v>
      </c>
      <c r="C72" s="56"/>
      <c r="D72" s="11">
        <f t="shared" si="4"/>
        <v>1088000</v>
      </c>
      <c r="E72" s="46">
        <v>0</v>
      </c>
      <c r="F72" s="11">
        <v>1088000</v>
      </c>
    </row>
    <row r="73" spans="1:7" ht="25.5" x14ac:dyDescent="0.2">
      <c r="A73" s="50" t="s">
        <v>26</v>
      </c>
      <c r="B73" s="39" t="s">
        <v>6</v>
      </c>
      <c r="C73" s="56"/>
      <c r="D73" s="11">
        <f t="shared" si="4"/>
        <v>889200</v>
      </c>
      <c r="E73" s="46">
        <v>0</v>
      </c>
      <c r="F73" s="11">
        <v>889200</v>
      </c>
    </row>
    <row r="74" spans="1:7" x14ac:dyDescent="0.2">
      <c r="A74" s="50"/>
      <c r="B74" s="39" t="s">
        <v>49</v>
      </c>
      <c r="C74" s="56"/>
      <c r="D74" s="11">
        <f t="shared" si="4"/>
        <v>430000</v>
      </c>
      <c r="E74" s="46">
        <v>0</v>
      </c>
      <c r="F74" s="11">
        <v>430000</v>
      </c>
    </row>
    <row r="75" spans="1:7" x14ac:dyDescent="0.2">
      <c r="A75" s="39" t="s">
        <v>97</v>
      </c>
      <c r="B75" s="39" t="s">
        <v>49</v>
      </c>
      <c r="C75" s="56"/>
      <c r="D75" s="11">
        <f t="shared" si="4"/>
        <v>494000</v>
      </c>
      <c r="E75" s="46">
        <v>0</v>
      </c>
      <c r="F75" s="11">
        <v>494000</v>
      </c>
    </row>
    <row r="76" spans="1:7" x14ac:dyDescent="0.2">
      <c r="A76" s="39" t="s">
        <v>148</v>
      </c>
      <c r="B76" s="39" t="s">
        <v>160</v>
      </c>
      <c r="C76" s="56"/>
      <c r="D76" s="11">
        <f t="shared" si="4"/>
        <v>46600</v>
      </c>
      <c r="E76" s="46">
        <v>0</v>
      </c>
      <c r="F76" s="11">
        <v>46600</v>
      </c>
    </row>
    <row r="77" spans="1:7" ht="18" customHeight="1" x14ac:dyDescent="0.2">
      <c r="A77" s="55" t="s">
        <v>27</v>
      </c>
      <c r="B77" s="55"/>
      <c r="C77" s="55"/>
      <c r="D77" s="11">
        <f t="shared" ref="D77:E77" si="5">SUM(D12:D76)</f>
        <v>33837448.040000007</v>
      </c>
      <c r="E77" s="11">
        <f t="shared" si="5"/>
        <v>0</v>
      </c>
      <c r="F77" s="11">
        <f>SUM(F12:F76)</f>
        <v>33837448.040000007</v>
      </c>
      <c r="G77" s="28"/>
    </row>
    <row r="78" spans="1:7" x14ac:dyDescent="0.2">
      <c r="A78" s="36" t="s">
        <v>9</v>
      </c>
      <c r="B78" s="65" t="s">
        <v>6</v>
      </c>
      <c r="C78" s="69" t="s">
        <v>28</v>
      </c>
      <c r="D78" s="11">
        <f t="shared" ref="D78:D84" si="6">E78+F78</f>
        <v>1399920</v>
      </c>
      <c r="E78" s="43">
        <f>1399920-1890</f>
        <v>1398030</v>
      </c>
      <c r="F78" s="11">
        <v>1890</v>
      </c>
      <c r="G78" s="25"/>
    </row>
    <row r="79" spans="1:7" x14ac:dyDescent="0.2">
      <c r="A79" s="17" t="s">
        <v>16</v>
      </c>
      <c r="B79" s="65"/>
      <c r="C79" s="69"/>
      <c r="D79" s="11">
        <f t="shared" si="6"/>
        <v>570200</v>
      </c>
      <c r="E79" s="43">
        <f>570200-770</f>
        <v>569430</v>
      </c>
      <c r="F79" s="11">
        <v>770</v>
      </c>
    </row>
    <row r="80" spans="1:7" x14ac:dyDescent="0.2">
      <c r="A80" s="17" t="s">
        <v>29</v>
      </c>
      <c r="B80" s="65"/>
      <c r="C80" s="69"/>
      <c r="D80" s="11">
        <f t="shared" si="6"/>
        <v>1057160</v>
      </c>
      <c r="E80" s="43">
        <f>1057160-1427</f>
        <v>1055733</v>
      </c>
      <c r="F80" s="11">
        <v>1427</v>
      </c>
    </row>
    <row r="81" spans="1:6" x14ac:dyDescent="0.2">
      <c r="A81" s="17" t="s">
        <v>30</v>
      </c>
      <c r="B81" s="65"/>
      <c r="C81" s="69"/>
      <c r="D81" s="11">
        <f t="shared" si="6"/>
        <v>1067040</v>
      </c>
      <c r="E81" s="43">
        <f>1067040-1441</f>
        <v>1065599</v>
      </c>
      <c r="F81" s="11">
        <v>1441</v>
      </c>
    </row>
    <row r="82" spans="1:6" x14ac:dyDescent="0.2">
      <c r="A82" s="17" t="s">
        <v>31</v>
      </c>
      <c r="B82" s="65"/>
      <c r="C82" s="69"/>
      <c r="D82" s="11">
        <f t="shared" si="6"/>
        <v>792300</v>
      </c>
      <c r="E82" s="43">
        <f>792300-1070</f>
        <v>791230</v>
      </c>
      <c r="F82" s="11">
        <v>1070</v>
      </c>
    </row>
    <row r="83" spans="1:6" x14ac:dyDescent="0.2">
      <c r="A83" s="17" t="s">
        <v>32</v>
      </c>
      <c r="B83" s="65"/>
      <c r="C83" s="69"/>
      <c r="D83" s="11">
        <f t="shared" si="6"/>
        <v>897000</v>
      </c>
      <c r="E83" s="43">
        <f>897000-1211</f>
        <v>895789</v>
      </c>
      <c r="F83" s="11">
        <v>1211</v>
      </c>
    </row>
    <row r="84" spans="1:6" x14ac:dyDescent="0.2">
      <c r="A84" s="17" t="s">
        <v>33</v>
      </c>
      <c r="B84" s="65"/>
      <c r="C84" s="69"/>
      <c r="D84" s="11">
        <f t="shared" si="6"/>
        <v>1011398</v>
      </c>
      <c r="E84" s="43">
        <f>1011398-1365</f>
        <v>1010033</v>
      </c>
      <c r="F84" s="11">
        <v>1365</v>
      </c>
    </row>
    <row r="85" spans="1:6" ht="18" customHeight="1" x14ac:dyDescent="0.2">
      <c r="A85" s="55" t="s">
        <v>27</v>
      </c>
      <c r="B85" s="55"/>
      <c r="C85" s="55"/>
      <c r="D85" s="11">
        <f>SUM(D78:D84)</f>
        <v>6795018</v>
      </c>
      <c r="E85" s="11">
        <f t="shared" ref="E85:F85" si="7">SUM(E78:E84)</f>
        <v>6785844</v>
      </c>
      <c r="F85" s="11">
        <f t="shared" si="7"/>
        <v>9174</v>
      </c>
    </row>
    <row r="86" spans="1:6" ht="18" customHeight="1" x14ac:dyDescent="0.2">
      <c r="A86" s="55" t="s">
        <v>34</v>
      </c>
      <c r="B86" s="55"/>
      <c r="C86" s="55"/>
      <c r="D86" s="11">
        <f>D85+D77</f>
        <v>40632466.040000007</v>
      </c>
      <c r="E86" s="11">
        <f>E85+E77</f>
        <v>6785844</v>
      </c>
      <c r="F86" s="11">
        <f>F85+F77</f>
        <v>33846622.040000007</v>
      </c>
    </row>
    <row r="89" spans="1:6" x14ac:dyDescent="0.2">
      <c r="F89" s="22"/>
    </row>
  </sheetData>
  <autoFilter ref="A11:F86"/>
  <mergeCells count="30">
    <mergeCell ref="A64:A68"/>
    <mergeCell ref="A7:F7"/>
    <mergeCell ref="A53:A55"/>
    <mergeCell ref="D8:F8"/>
    <mergeCell ref="A10:A11"/>
    <mergeCell ref="B10:B11"/>
    <mergeCell ref="C10:C11"/>
    <mergeCell ref="D10:D11"/>
    <mergeCell ref="E10:F10"/>
    <mergeCell ref="A86:C86"/>
    <mergeCell ref="A77:C77"/>
    <mergeCell ref="B78:B84"/>
    <mergeCell ref="C78:C84"/>
    <mergeCell ref="A85:C85"/>
    <mergeCell ref="A15:A16"/>
    <mergeCell ref="D15:D16"/>
    <mergeCell ref="E15:E16"/>
    <mergeCell ref="F15:F16"/>
    <mergeCell ref="C12:C76"/>
    <mergeCell ref="A73:A74"/>
    <mergeCell ref="A60:A63"/>
    <mergeCell ref="A50:A52"/>
    <mergeCell ref="A20:A21"/>
    <mergeCell ref="A34:A35"/>
    <mergeCell ref="A43:A45"/>
    <mergeCell ref="A56:A58"/>
    <mergeCell ref="A26:A27"/>
    <mergeCell ref="A69:A70"/>
    <mergeCell ref="A18:A19"/>
    <mergeCell ref="A30:A31"/>
  </mergeCells>
  <pageMargins left="0.51181102362204722" right="0.31496062992125984" top="0.35433070866141736" bottom="0.35433070866141736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Лаврентьева Татьяна Вячеславовна</cp:lastModifiedBy>
  <cp:lastPrinted>2024-08-12T09:43:23Z</cp:lastPrinted>
  <dcterms:created xsi:type="dcterms:W3CDTF">2023-08-10T19:03:18Z</dcterms:created>
  <dcterms:modified xsi:type="dcterms:W3CDTF">2024-08-13T11:29:50Z</dcterms:modified>
</cp:coreProperties>
</file>