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3040" windowHeight="9060"/>
  </bookViews>
  <sheets>
    <sheet name="прил 1 " sheetId="4" r:id="rId1"/>
    <sheet name="поячнительная " sheetId="7" r:id="rId2"/>
    <sheet name="Лист5" sheetId="8" r:id="rId3"/>
    <sheet name="Лист2" sheetId="2" state="hidden" r:id="rId4"/>
    <sheet name="пояснительная " sheetId="1" state="hidden" r:id="rId5"/>
    <sheet name="прил 1  минис с 1 шк плюс на у)" sheetId="5" state="hidden" r:id="rId6"/>
    <sheet name="Лист3" sheetId="3" state="hidden" r:id="rId7"/>
  </sheets>
  <definedNames>
    <definedName name="_Hlk132293799" localSheetId="4">'пояснительная '!$A$8</definedName>
    <definedName name="_Hlk132293799" localSheetId="1">'поячнительная '!$A$2</definedName>
    <definedName name="_Hlk132293799" localSheetId="0">'прил 1 '!$A$6</definedName>
    <definedName name="_Hlk132293799" localSheetId="5">'прил 1  минис с 1 шк плюс на у)'!$A$1</definedName>
  </definedNames>
  <calcPr calcId="145621"/>
</workbook>
</file>

<file path=xl/calcChain.xml><?xml version="1.0" encoding="utf-8"?>
<calcChain xmlns="http://schemas.openxmlformats.org/spreadsheetml/2006/main">
  <c r="J110" i="7" l="1"/>
  <c r="K83" i="7"/>
  <c r="K82" i="7"/>
  <c r="F94" i="7"/>
  <c r="E94" i="7"/>
  <c r="D101" i="7"/>
  <c r="D6" i="7"/>
  <c r="D72" i="7" s="1"/>
  <c r="E111" i="7"/>
  <c r="F109" i="7"/>
  <c r="F108" i="7"/>
  <c r="F107" i="7"/>
  <c r="F106" i="7"/>
  <c r="D98" i="4"/>
  <c r="G96" i="4"/>
  <c r="E97" i="7"/>
  <c r="E95" i="7"/>
  <c r="H93" i="7"/>
  <c r="I91" i="7"/>
  <c r="H79" i="7"/>
  <c r="E9" i="4"/>
  <c r="E71" i="4" s="1"/>
  <c r="F9" i="4"/>
  <c r="F71" i="4" s="1"/>
  <c r="D9" i="4"/>
  <c r="D71" i="4" s="1"/>
  <c r="C71" i="7"/>
  <c r="K46" i="7"/>
  <c r="G72" i="7"/>
  <c r="F71" i="7"/>
  <c r="F70" i="7"/>
  <c r="F49" i="7"/>
  <c r="E38" i="7"/>
  <c r="F37" i="7"/>
  <c r="F36" i="7"/>
  <c r="F35" i="7"/>
  <c r="F34" i="7"/>
  <c r="E112" i="4"/>
  <c r="D93" i="4"/>
  <c r="D95" i="4"/>
  <c r="D99" i="4"/>
  <c r="E78" i="4"/>
  <c r="E82" i="4" s="1"/>
  <c r="D106" i="4"/>
  <c r="F101" i="4"/>
  <c r="F107" i="4" s="1"/>
  <c r="F81" i="4"/>
  <c r="F82" i="4" s="1"/>
  <c r="D75" i="4"/>
  <c r="D82" i="4"/>
  <c r="E88" i="4"/>
  <c r="F88" i="4"/>
  <c r="F98" i="4"/>
  <c r="E107" i="4"/>
  <c r="D108" i="4"/>
  <c r="I99" i="7" l="1"/>
  <c r="F98" i="7"/>
  <c r="F96" i="7"/>
  <c r="E101" i="7"/>
  <c r="G101" i="7"/>
  <c r="J101" i="7"/>
  <c r="L85" i="7" l="1"/>
  <c r="L86" i="7"/>
  <c r="L87" i="7"/>
  <c r="L88" i="7"/>
  <c r="L89" i="7"/>
  <c r="L91" i="7"/>
  <c r="L92" i="7"/>
  <c r="L102" i="7"/>
  <c r="L103" i="7"/>
  <c r="L104" i="7"/>
  <c r="L110" i="7" s="1"/>
  <c r="L111" i="7"/>
  <c r="E76" i="7"/>
  <c r="D76" i="7"/>
  <c r="G84" i="7"/>
  <c r="E77" i="7"/>
  <c r="D84" i="7"/>
  <c r="F79" i="7"/>
  <c r="F80" i="7"/>
  <c r="F81" i="7"/>
  <c r="F82" i="7"/>
  <c r="F83" i="7"/>
  <c r="F74" i="7"/>
  <c r="F75" i="7"/>
  <c r="F73" i="7"/>
  <c r="F86" i="7"/>
  <c r="F87" i="7"/>
  <c r="F88" i="7"/>
  <c r="F85" i="7"/>
  <c r="I110" i="7"/>
  <c r="H110" i="7"/>
  <c r="G110" i="7"/>
  <c r="I92" i="7"/>
  <c r="I87" i="7"/>
  <c r="I88" i="7"/>
  <c r="I89" i="7"/>
  <c r="I80" i="7"/>
  <c r="I81" i="7"/>
  <c r="I82" i="7"/>
  <c r="I83" i="7"/>
  <c r="I85" i="7"/>
  <c r="I86" i="7"/>
  <c r="H101" i="7"/>
  <c r="D87" i="4"/>
  <c r="D88" i="4" s="1"/>
  <c r="F76" i="7" l="1"/>
  <c r="I101" i="7"/>
  <c r="L72" i="7"/>
  <c r="K45" i="7"/>
  <c r="I72" i="7"/>
  <c r="F58" i="7"/>
  <c r="F59" i="7"/>
  <c r="F60" i="7"/>
  <c r="F61" i="7"/>
  <c r="F62" i="7"/>
  <c r="F63" i="7"/>
  <c r="F64" i="7"/>
  <c r="F65" i="7"/>
  <c r="F66" i="7"/>
  <c r="F67" i="7"/>
  <c r="F68" i="7"/>
  <c r="F69" i="7"/>
  <c r="F57" i="7"/>
  <c r="E56" i="7"/>
  <c r="E50" i="7"/>
  <c r="E51" i="7"/>
  <c r="E52" i="7"/>
  <c r="E53" i="7"/>
  <c r="E54" i="7"/>
  <c r="E55" i="7"/>
  <c r="H41" i="7"/>
  <c r="H42" i="7"/>
  <c r="H43" i="7"/>
  <c r="H44" i="7"/>
  <c r="H40" i="7"/>
  <c r="E39" i="7"/>
  <c r="E29" i="7"/>
  <c r="E30" i="7"/>
  <c r="E31" i="7"/>
  <c r="E32" i="7"/>
  <c r="E33" i="7"/>
  <c r="E28" i="7"/>
  <c r="E27" i="7"/>
  <c r="E22" i="7"/>
  <c r="E23" i="7"/>
  <c r="E24" i="7"/>
  <c r="E25" i="7"/>
  <c r="E26" i="7"/>
  <c r="E21" i="7"/>
  <c r="E16" i="7"/>
  <c r="E17" i="7"/>
  <c r="E18" i="7"/>
  <c r="E19" i="7"/>
  <c r="E20" i="7"/>
  <c r="E15" i="7"/>
  <c r="E14" i="7"/>
  <c r="E13" i="7"/>
  <c r="E12" i="7"/>
  <c r="E9" i="7"/>
  <c r="E10" i="7"/>
  <c r="E11" i="7"/>
  <c r="E8" i="7"/>
  <c r="F7" i="7"/>
  <c r="E89" i="4"/>
  <c r="E98" i="4" s="1"/>
  <c r="F72" i="7" l="1"/>
  <c r="F101" i="7"/>
  <c r="H11" i="8"/>
  <c r="H13" i="8" s="1"/>
  <c r="E78" i="7"/>
  <c r="C5" i="8"/>
  <c r="C6" i="8" s="1"/>
  <c r="C7" i="8"/>
  <c r="C9" i="8" s="1"/>
  <c r="D103" i="7"/>
  <c r="F103" i="7" s="1"/>
  <c r="F110" i="7" s="1"/>
  <c r="D102" i="7"/>
  <c r="J90" i="7"/>
  <c r="L90" i="7" s="1"/>
  <c r="G90" i="7"/>
  <c r="D89" i="7"/>
  <c r="J84" i="7"/>
  <c r="L84" i="7" s="1"/>
  <c r="J48" i="7"/>
  <c r="J72" i="7" s="1"/>
  <c r="J112" i="7" s="1"/>
  <c r="I90" i="7" l="1"/>
  <c r="G112" i="7"/>
  <c r="E102" i="7"/>
  <c r="D110" i="7"/>
  <c r="L101" i="7"/>
  <c r="L112" i="7" s="1"/>
  <c r="K101" i="7"/>
  <c r="K112" i="7" s="1"/>
  <c r="D90" i="7"/>
  <c r="F90" i="7" s="1"/>
  <c r="F89" i="7"/>
  <c r="F78" i="7"/>
  <c r="F84" i="7" s="1"/>
  <c r="C10" i="8"/>
  <c r="J5" i="7"/>
  <c r="K48" i="7"/>
  <c r="D100" i="4"/>
  <c r="D107" i="4" s="1"/>
  <c r="D109" i="4" s="1"/>
  <c r="D112" i="7" l="1"/>
  <c r="F112" i="7"/>
  <c r="J114" i="7" l="1"/>
  <c r="I84" i="7"/>
  <c r="I112" i="7" l="1"/>
  <c r="D113" i="7" s="1"/>
  <c r="G59" i="1"/>
  <c r="F54" i="1"/>
  <c r="E57" i="1" l="1"/>
  <c r="F57" i="1" s="1"/>
  <c r="F12" i="1" l="1"/>
  <c r="F13" i="1"/>
  <c r="F14" i="1"/>
  <c r="F15" i="1"/>
  <c r="F16" i="1"/>
  <c r="F17" i="1"/>
  <c r="F18" i="1"/>
  <c r="F19" i="1"/>
  <c r="F20" i="1"/>
  <c r="F21" i="1"/>
  <c r="F22" i="1"/>
  <c r="E23" i="1"/>
  <c r="F24" i="1"/>
  <c r="F25" i="1"/>
  <c r="F26" i="1"/>
  <c r="F27" i="1"/>
  <c r="F28" i="1"/>
  <c r="D29" i="1"/>
  <c r="F29" i="1" s="1"/>
  <c r="F30" i="1"/>
  <c r="D31" i="1"/>
  <c r="F31" i="1" s="1"/>
  <c r="F32" i="1"/>
  <c r="F33" i="1"/>
  <c r="F34" i="1"/>
  <c r="F35" i="1"/>
  <c r="D36" i="1"/>
  <c r="F36" i="1" s="1"/>
  <c r="F37" i="1"/>
  <c r="F38" i="1"/>
  <c r="F41" i="1"/>
  <c r="F42" i="1"/>
  <c r="F43" i="1"/>
  <c r="F39" i="1"/>
  <c r="F40" i="1"/>
  <c r="J44" i="1"/>
  <c r="J45" i="1" s="1"/>
  <c r="E45" i="1"/>
  <c r="G45" i="1"/>
  <c r="H45" i="1"/>
  <c r="I45" i="1"/>
  <c r="F47" i="1"/>
  <c r="D48" i="1"/>
  <c r="D55" i="1" s="1"/>
  <c r="E48" i="1"/>
  <c r="J49" i="1"/>
  <c r="J55" i="1" s="1"/>
  <c r="F50" i="1"/>
  <c r="F51" i="1"/>
  <c r="F52" i="1"/>
  <c r="F53" i="1"/>
  <c r="G55" i="1"/>
  <c r="H55" i="1"/>
  <c r="I55" i="1"/>
  <c r="F56" i="1"/>
  <c r="F59" i="1" s="1"/>
  <c r="J58" i="1"/>
  <c r="J59" i="1" s="1"/>
  <c r="D59" i="1"/>
  <c r="E59" i="1"/>
  <c r="I59" i="1"/>
  <c r="F60" i="1"/>
  <c r="F61" i="1" s="1"/>
  <c r="D61" i="1"/>
  <c r="E61" i="1"/>
  <c r="G61" i="1"/>
  <c r="H61" i="1"/>
  <c r="F62" i="1"/>
  <c r="F63" i="1"/>
  <c r="F64" i="1"/>
  <c r="F65" i="1"/>
  <c r="F66" i="1"/>
  <c r="F67" i="1"/>
  <c r="F68" i="1"/>
  <c r="J69" i="1"/>
  <c r="J70" i="1" s="1"/>
  <c r="D70" i="1"/>
  <c r="E70" i="1"/>
  <c r="G70" i="1"/>
  <c r="H70" i="1"/>
  <c r="I70" i="1"/>
  <c r="F71" i="1"/>
  <c r="F72" i="1"/>
  <c r="E73" i="1"/>
  <c r="F73" i="1" s="1"/>
  <c r="F74" i="1"/>
  <c r="F75" i="1"/>
  <c r="E75" i="1" s="1"/>
  <c r="I75" i="1"/>
  <c r="I80" i="1" s="1"/>
  <c r="E76" i="1"/>
  <c r="E77" i="1"/>
  <c r="F79" i="1"/>
  <c r="D80" i="1"/>
  <c r="G80" i="1"/>
  <c r="H80" i="1"/>
  <c r="J80" i="1"/>
  <c r="I90" i="1"/>
  <c r="D91" i="1"/>
  <c r="F80" i="1" l="1"/>
  <c r="G82" i="1"/>
  <c r="F70" i="1"/>
  <c r="F23" i="1"/>
  <c r="F45" i="1"/>
  <c r="F48" i="1"/>
  <c r="F55" i="1" s="1"/>
  <c r="E55" i="1"/>
  <c r="D23" i="1"/>
  <c r="D45" i="1" s="1"/>
  <c r="D82" i="1" s="1"/>
  <c r="I82" i="1"/>
  <c r="I86" i="1" s="1"/>
  <c r="H82" i="1"/>
  <c r="J82" i="1"/>
  <c r="J84" i="1" s="1"/>
  <c r="J87" i="1" s="1"/>
  <c r="E80" i="1"/>
  <c r="E82" i="1" l="1"/>
  <c r="D86" i="1" s="1"/>
  <c r="I91" i="1"/>
  <c r="F82" i="1"/>
  <c r="E5" i="5"/>
  <c r="I5" i="5" s="1"/>
  <c r="D85" i="1" l="1"/>
  <c r="F83" i="1"/>
  <c r="E89" i="1"/>
  <c r="F89" i="1" s="1"/>
  <c r="F90" i="1" s="1"/>
  <c r="F87" i="1"/>
  <c r="F9" i="5"/>
  <c r="E75" i="4"/>
  <c r="E109" i="4" s="1"/>
  <c r="F75" i="4"/>
  <c r="F109" i="4" s="1"/>
  <c r="D110" i="4" l="1"/>
  <c r="E113" i="4" s="1"/>
  <c r="E114" i="4" s="1"/>
  <c r="F111" i="4"/>
  <c r="F113" i="4" s="1"/>
  <c r="G89" i="1"/>
  <c r="C9" i="2" l="1"/>
  <c r="D5" i="2"/>
  <c r="D6" i="2"/>
  <c r="D7" i="2"/>
  <c r="D4" i="2"/>
  <c r="E12" i="1" l="1"/>
</calcChain>
</file>

<file path=xl/comments1.xml><?xml version="1.0" encoding="utf-8"?>
<comments xmlns="http://schemas.openxmlformats.org/spreadsheetml/2006/main">
  <authors>
    <author>Автор</author>
  </authors>
  <commentList>
    <comment ref="C50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C5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<sst xmlns="http://schemas.openxmlformats.org/spreadsheetml/2006/main" count="405" uniqueCount="291">
  <si>
    <t xml:space="preserve">            ПРИЛОЖЕНИЕ</t>
  </si>
  <si>
    <t>Утверждено</t>
  </si>
  <si>
    <t>распоряжением Администрации</t>
  </si>
  <si>
    <t>Златоустовского городского округа</t>
  </si>
  <si>
    <t>№</t>
  </si>
  <si>
    <t>Наименование учреждения</t>
  </si>
  <si>
    <t>Перечень работ</t>
  </si>
  <si>
    <t>Муниципальное автономное учреждение дополнительного образования «Спортивная школа олимпийского резерва № 1 им. С.И. Ишмуратовой Златоустовского городского округа»</t>
  </si>
  <si>
    <t>Замена санитарно-технического оборудования.  Отделка стен в душевой и туалетах. Ремонт пола в душевой и туалетах.  Замена дверей. Установка перегородок. Электромонтажные работы. Замена отопления в душевой. г. Златоуст ул. Панфилова, 2</t>
  </si>
  <si>
    <t>Замена санитарно-технического оборудования.  Отделка стен в душевой и туалетах. Ремонт пола в душевой и туалетах.  Замена дверей. Замена окон. Установка перегородок. Электромонтажные работы. г. Златоуст, пр. им. Гагарина, 3м/р, д. 25</t>
  </si>
  <si>
    <t>Замена санитарно-технического оборудования.  Отделка стен в душевой и туалете. Ремонт пола в душевой и туалете.  Замена дверей. Установка перегородок. г. Златоуст, кв. Южноуральский, д.1</t>
  </si>
  <si>
    <t>Замена санитарно-технического оборудования.  Отделка стен в душевой и туалете. Ремонт пола в душевой и туалете.  Замена дверей. Установка перегородок. Установка водонагревателя. Златоуст ул. Румянцева, д. 113</t>
  </si>
  <si>
    <t>Замена санитарно-технического оборудования.  Отделка стен в душевой и туалете. Ремонт пола в душевой и туалете.  Замена дверей. Установка перегородок. Замена отопления в туалетах. .г. Златоуст, ул. Шишкина, д. 17</t>
  </si>
  <si>
    <t>Замена освещения в бюджетных учреждения на светодиодное.  г. Златоуст ул. Спортивная 1а, ул. Панфилова, 2,  пр. им. Гагарина, 3м/р, д. 25, кв. Южноуральский, д.1, ул. Румянцева, д. 113, ул. Шишкина, д. 17</t>
  </si>
  <si>
    <t>Обследование технического состояния системы вентиляции. г. Златоуст ул. Панфилова, 2,  пр. им. Гагарина, 3м/р, д. 25, кв. Южноуральский, д.1, ул. Румянцева, д. 113, ул. Шишкина, д. 17</t>
  </si>
  <si>
    <t>Разработка проектно-сметной документации по объекту: Капитальный ремонт фасада здания АСК, расположенного по адресу: г. Златоуст, ул. Спортивная 1К</t>
  </si>
  <si>
    <t>Ремонтные работы на объекте Лыжно-биатлонный комплекс им. С.И. Ишмуратовой по адресу г. Златоуст, ул. Спортивная, 1К, в том числе:</t>
  </si>
  <si>
    <t>- внутренняя отделка помещений 3 этажа с заменой оконных конструкций, системы отопления</t>
  </si>
  <si>
    <t>- ремонт брусчатки перед основным входом в АСК</t>
  </si>
  <si>
    <t>- облицовка подпорной стенки пешеходной дорожки со стороны стадиона (вдоль трибун, аск, стадиона)</t>
  </si>
  <si>
    <t>- капитальный ремонт фасада здания АСК расположенного по адресу: Челябинская область, г. Златоуст, ул. Спортивная, 1К</t>
  </si>
  <si>
    <t>- расширение выхода со старта лыжных трасс (земляные работы, асфальтирование)</t>
  </si>
  <si>
    <t>- планировка территории горы откатки лыж (работа спецтехники)</t>
  </si>
  <si>
    <t>- водоотведение и асфальтирование</t>
  </si>
  <si>
    <t>- отсыпка и планировка разминочного круга для спортсменов (работа спецтехники)</t>
  </si>
  <si>
    <t>- устройство снегохранилища (чистка карьера, работа спецтехники)</t>
  </si>
  <si>
    <t>- парковка спецтехники МатчТВ (работа спецтехники, отсыпка)</t>
  </si>
  <si>
    <t>- зона безопасности биатлонного стрельбища (удлинение стены имеющейся)</t>
  </si>
  <si>
    <t>- капитальный ремонт домиков для полноценного функционирования</t>
  </si>
  <si>
    <t>Оказание услуг по проведению государственной экспертизы проектной документации на предмет проверки достоверности определения сметной стоимости объекта: «Капитальный ремонт фасада здания АСК, расположенного по адресу: Челябинская область, г. Златоуст, ул. Спортивная 1К»</t>
  </si>
  <si>
    <t>Муниципальное автономное учреждение дополнительного образования «Спортивная школа № 3 Златоустовского городского округа»</t>
  </si>
  <si>
    <t>Технический надзор за выполнением работ по ремонту спортивного зала, мужской раздевалки на объекте МАУДО СШ № 3, находящегося по адресу: г. Златоуст пр. им. Ю.А. Гагарина, 5 линия, д. 3в</t>
  </si>
  <si>
    <t>Муниципальное автономное учреждение дополнительного образования «Спортивная школа № 7 Златоустовского городского округа»</t>
  </si>
  <si>
    <t>Муниципальное автономное учреждение дополнительного образования «Спортивная школа олимпийского резерва № 8 «Уралочка»</t>
  </si>
  <si>
    <t>итого</t>
  </si>
  <si>
    <t>Разработка проектно-сметной документациипо благоустройству территории на лыжном стадионе, расположенного по адресу: г. Златоуст, ул. Спортивная 1К</t>
  </si>
  <si>
    <t>Разработка проектно-сметной документации, монтаж системы наружного освещения и управления детским безопорным буксировочным подъемником, устройство пункта управления детским безопорным буксировочным подъемником на горнолыжной базе по адресу:г. Златоуст, ул. им. И.В. Панфилова, д. 2</t>
  </si>
  <si>
    <t>от ________________№______________</t>
  </si>
  <si>
    <t>Перечень объектов и работ по ремонтам, противопожарным  и антитеррористическим 
мероприятиям в учреждениях, 
подведомственных муниципальному казенному учреждению Управление по физической культуре и спорту Златоустовского городского округа на 2023 год</t>
  </si>
  <si>
    <t xml:space="preserve">Осуществление строительного контроля, выполнение работ по составлению дефектных ведомостей и проверке сметной документации, разработка кадастровойи проектной документации на объекте МАУДО СШОР № 1, расположенном ко адресу: г. Златоуст, ул. Спортивная, 1К </t>
  </si>
  <si>
    <t>ИТОГО по Муниципальному автономному учреждению дополнительного образования «Спортивная школа № 7 Златоустовского городского округа»:</t>
  </si>
  <si>
    <t>ИТОГО по Муниципальному автономному учреждению дополнительного образования «Спортивная школа олимпийского резерва № 8 «Уралочка»:</t>
  </si>
  <si>
    <t xml:space="preserve">Ремонт спортивного зала по адресу: г. Златоуст, пр. им. Ю.А. Гагарина, 5 линия, д. 3в </t>
  </si>
  <si>
    <t>Устройство дренажной системы (водоотведение  стадиона по адресу: г. Златоуст, пр. им. Ю.А. Гагарина, 5 линия,  д. 3в)</t>
  </si>
  <si>
    <t>Освещение, видеонаблюдение стадиона по адресу: г. Златоуст, пр. им. Ю.А. Гагарина, 5 линия,  д. 3в)</t>
  </si>
  <si>
    <t>Ремонт ограждения с обустройством тротуаров г. Златоуст пр. им. Ю.А. Гагарина, 5 линия, д. 3в</t>
  </si>
  <si>
    <t>Разработка проектно-сметной документации на объект «Капитальный ремонт стадиона «Таганай» по адресу: г. Златоуст, пр. Мира, дом 9а»</t>
  </si>
  <si>
    <t>Ремонт помещений по адресу: г. Златоуст, пр. Мира, д 45</t>
  </si>
  <si>
    <t>Ремонт лестничного марша с укладкой кафельной плитки, заменой крепления перил, демонтажом и монтажом ограждения по адресу: г. Златоуст, пр. им. Ю.А. Гагарина, 8 линия, д. 20.</t>
  </si>
  <si>
    <t>Ремонт и монтаж пожарной сигнализации ПАК «Стрелец-мониторинг» по адресу: г. Златоуст, пр. им. Ю.А. Гагарина, 5 линия, д. 3в</t>
  </si>
  <si>
    <t xml:space="preserve"> - монтаж наружного освещения мишеней на МАУДО «СШОР № 1» расположенного по адресу: Челябинская область, г. Златоуст, ул. Спортивная, 1К</t>
  </si>
  <si>
    <t>- прокладка футляров под кабельные линии из полиэтиленовой трубы для укладки оптоволоконных и электрических кабелей под нужды Матч ТВ, по адресу: г. Златоуст, ул. Спортивная, 1К</t>
  </si>
  <si>
    <t>- оказание услуг по проведению повторной государственной экспертизы проектной документациии результатов инженерных изысканий по объекту: "Реконструкция лыжного стадиона им. С. Ишмуратовой со строительством биатлонного стрельбища по адресу: Челябинская область, г. Златоуст, квартал № 152 Златоустовского участкового лесничества ОГУ "Миасское лесничество". (Корректировка II этапа строительства)</t>
  </si>
  <si>
    <t>3</t>
  </si>
  <si>
    <t>Проведение ремонта спортзала школы, ремонт вентиляции спортзала по аадресу: г. Златоуст, проспект им. Ю.А. Гагарина, 5 линия,д.3В</t>
  </si>
  <si>
    <t>Муниципальное автономное учреждение дополнительного образования «Спортивная школа олимпийского резерва № 5»</t>
  </si>
  <si>
    <t>ИТОГО по Муниципальному автономному учреждению дополнительного образования «Спортивная школа олимпийского резерва № 1 им. С.И. Ишмуратовой Златоустовского городского округа»</t>
  </si>
  <si>
    <t xml:space="preserve">ИТОГО по Муниципальному автономному учреждению дополнительного образования «Спортивная школа № 3 Златоустовского городского округа» </t>
  </si>
  <si>
    <t>4</t>
  </si>
  <si>
    <t>Муниципальное бюджетное учреждение дополнительного образования «Спортивная школа № 4»</t>
  </si>
  <si>
    <t>ИТОГО по Муниципальному бюджетноному учреждению дополнительного образования «Спортивная школа №4»</t>
  </si>
  <si>
    <t>Внесенные изменения</t>
  </si>
  <si>
    <t>- монтаж наружного освещения мишеней на МАУДО «СШОР № 1» расположенного по адресу: Челябинская область, г. Златоуст, ул. Спортивная, 1К</t>
  </si>
  <si>
    <t>3 503 224,06</t>
  </si>
  <si>
    <t xml:space="preserve">Уточненное направление расходов </t>
  </si>
  <si>
    <t xml:space="preserve">Предусмотрено в Распоряжении Администрации ЗГО от 13.09.2023г. №2940-р/АДМ </t>
  </si>
  <si>
    <t>итого уточнение расходов</t>
  </si>
  <si>
    <t xml:space="preserve">Ремонт кровли в здании зимней спортбазы  (поелок Айский,  дом 2) </t>
  </si>
  <si>
    <t>Ремонт (замена) аварийного участка электропроводки в здании зимней спортбазы (поселок Айский, дом 2)</t>
  </si>
  <si>
    <t>№45-ЗГО от 30.10.2023</t>
  </si>
  <si>
    <t xml:space="preserve">ОСВЕЩЕНИЕ НА ФУТБОЛЬНОМ ПОЛЕ  РЕКОНСТРУКЦИЯ ФУТБОЛЬНОГО ПОЛЯ РЕМОНТ ФАСАДА СПОРТКОМПЛЕКСА </t>
  </si>
  <si>
    <t>ассиг</t>
  </si>
  <si>
    <t>лим</t>
  </si>
  <si>
    <t xml:space="preserve">№3443-р/адм от 30.10.2023           Ремонт, руб.                                </t>
  </si>
  <si>
    <t>Услуги по проведению негосударственной экспертизы сметной документации объекта: капитальный ремонт подпорной стенки объекта спорта по адресу Челябинская область, г. Златоуст, ул. Карла Маркса 28.</t>
  </si>
  <si>
    <t>Замене розлива системы отопления и установка радиаторов отопления, проверка сметной документации по адресу: г. Златоуст, ул. Урицкого, д. 36а</t>
  </si>
  <si>
    <t>Монтаж оранного телевидения по адресу: г. Златоуст, ул. им. Н.П. Полетаева, д. 9А.</t>
  </si>
  <si>
    <t>ремонт</t>
  </si>
  <si>
    <t xml:space="preserve">Противо-пожарные мероприятия,                          руб. №3443-р/адм от 30.10.2023     </t>
  </si>
  <si>
    <t>Антитеррористические мероприятия</t>
  </si>
  <si>
    <t xml:space="preserve">№3443-р/адм от 30.10.2023           Ремонт, руб. </t>
  </si>
  <si>
    <t>Установка видеонаблюдения и освещение футбольного поля "Таганай"</t>
  </si>
  <si>
    <t>итого Антитеррористические мероприятия 2908</t>
  </si>
  <si>
    <t xml:space="preserve">итого по столбцам </t>
  </si>
  <si>
    <t>итого 2901,2908</t>
  </si>
  <si>
    <t xml:space="preserve">Ремонт хладоустановки спортивной арены ФОК «Таганай», пр. Мира, 45 </t>
  </si>
  <si>
    <t>Установка узла учета тепла в ФОК "Таганай", (пр. Мира, д.45)</t>
  </si>
  <si>
    <t>Замена подвесных потолков в коридорах здания зимней спортбазы (поселок Айский, дом 2)</t>
  </si>
  <si>
    <t xml:space="preserve">государственная экспертиза проектной документации на предмет проверки достоверности определения сметной стоимости объекта «Ремонтные работы по замене столбов системы наружного освещения и видеонаблюдения лыжной и лыжероллерной трасс» </t>
  </si>
  <si>
    <t>ремонт подъемника, строительный контроль. г. Златоуст ул. им. И.В. Панфилова,2</t>
  </si>
  <si>
    <t xml:space="preserve"> Замена оконных блоков по адресу: г. Златоуст, ул.Кусинское шоссе, д.1б </t>
  </si>
  <si>
    <t>Ремонт, руб.</t>
  </si>
  <si>
    <t>Противо-пожарные мероприятия. руб.</t>
  </si>
  <si>
    <t>Ремонт фасада здания, технический надзор за ремонтом фасада, окна, двери, входная группа, изготовление и установка фасадеого освещения, барильефов, фасадных часов,   работы по составлению дефектной ведомости, сметной документации   по адресу: г. Златоуст, ул. им. Карла Маркса, дом 28.</t>
  </si>
  <si>
    <t>проектно-сметная документация</t>
  </si>
  <si>
    <t>краска</t>
  </si>
  <si>
    <t xml:space="preserve">Уточнение расходов  по ремонтам, противопожарным  
мероприятиям в МАУ ДО СШОР №1, 
</t>
  </si>
  <si>
    <t xml:space="preserve"> ограждение из плит </t>
  </si>
  <si>
    <t>ИТОГО по Муниципальному автономному учреждению дополнительного образования «Спортивная школа олимпийского резерва № 5»</t>
  </si>
  <si>
    <t xml:space="preserve">Реализация инициативных проектов «Футбольное поле с трибунами, беговая дорожка. Реконструкция футбольного поля с укладкой искусственного покрытия стадиона «Металлург» (капитальный ремонт поля с укладкой искусственного покрытия, капитальный ремонт секторов за воротами) по адресу: г. Златоуст, ул. им. Карла Маркса, 28). Технический надзор за выполнением работ, приобретение нетканого геотекстиля, восстановление освещения вдоль беговой дорожки </t>
  </si>
  <si>
    <t xml:space="preserve">технического надзора за выполнением работ «Футбольное поле с трибунами, беговая дорожка. Реконструкция футбольного поля с укладкой искусственного покрытия стадиона «Металлург» (капитальный ремонт поля с укладкой искусственного покрытия, капитальный ремонт секторов за воротами) по адресу: г. Златоуст, ул. им. Карла Маркса, 28). Технический надзор за выполнением работ, приобретение нетканого геотекстиля, восстановление освещения вдоль беговой дорожки </t>
  </si>
  <si>
    <t>- возведение временного объекта пешеходного тоннеля на лыжном стадионе им. С,И. Ишмуратовой  по адресу: Челябинская область г. Златоуст, квартал №152 Златоустовского участкового лесничества ОГУ «Миасское лесничество»</t>
  </si>
  <si>
    <t>- благоустройство территории (устройство ограждения стадиона и подъездных путей на лыжном стадионе), адрес: Челябинская область, г. Златоуст, ул. Спортивная, 1К»</t>
  </si>
  <si>
    <t>Установка шлагбаума на стадионе Булат                              г. Златоуст, ул. Спортивная, 1А</t>
  </si>
  <si>
    <r>
      <t>Замена линоулема, утепление теплотрассы, составление сметной документации по адресу: г.Златоуст, ул. им. Н.П. Полетаева, д. 9А</t>
    </r>
    <r>
      <rPr>
        <sz val="12"/>
        <color rgb="FFFF0000"/>
        <rFont val="Times New Roman"/>
        <family val="1"/>
        <charset val="204"/>
      </rPr>
      <t xml:space="preserve">. </t>
    </r>
  </si>
  <si>
    <t xml:space="preserve">Технический надзор за выполнением работ по устройству дренажной системы на обьекте МАУДО СШ№3, находящегося по адресу: г.Златоуст,пр.Гагарина,5линия,д.3В.                 </t>
  </si>
  <si>
    <t>Ремонт пола спортивного зала по адресу: г.Златоуст,ул.Ленина,1</t>
  </si>
  <si>
    <t xml:space="preserve">Реконструкция футбольного поля с укладкой искусственного покрытия стадиона "Металлург". Устранение недостатков проектных решений (приобретение нетканого геотекстиля, поверхностного плотностью 200 г/м2, резиновый гранулят фракции 1-3 мм), восстановление освещения вдоль беговой дорожки  по адресу: г. Златоуст, ул. им. Карла Маркса, 28). </t>
  </si>
  <si>
    <t>Работы по составлению сметной документации ремонт нежилого здания-общественный туалет (локальная смета № 519) на объекте МАУДО «СШОР № 8, находящегося по адресу: г. Златоуст, ул.им.К.Маркса, д.28</t>
  </si>
  <si>
    <t>итого ремонт и противопожарные мероприятия 2901</t>
  </si>
  <si>
    <t>МКУ УФКиС ЗГО</t>
  </si>
  <si>
    <t>2</t>
  </si>
  <si>
    <t>-капитальный ремонт фасада АСК</t>
  </si>
  <si>
    <t>-перенос воздушной линии электропередач</t>
  </si>
  <si>
    <t>- восстановление электропроводки в подвальном помещении АСК</t>
  </si>
  <si>
    <t>-электро-монтажные работы по установке розеток</t>
  </si>
  <si>
    <t>-внутренние электроснабжение (командные домики)</t>
  </si>
  <si>
    <t>-установка сантехнического оборудования</t>
  </si>
  <si>
    <t>-ремонт системы водопровода (командные домики)</t>
  </si>
  <si>
    <t>-ремонт системы отопления (командные домики)</t>
  </si>
  <si>
    <t>-проверка сметной документации и осуществление технического (строительного) надзора за выполнением ремонтных работ</t>
  </si>
  <si>
    <t>-облицовка подпорной стены стрельбища</t>
  </si>
  <si>
    <t>-изготовление и монтаж ограждения зрительских трибун, биржи, перил зрительских трибун</t>
  </si>
  <si>
    <t>-электромонтажные работы</t>
  </si>
  <si>
    <t xml:space="preserve">-покраска стен перехода </t>
  </si>
  <si>
    <t>-устройство площадки для разворота автобуса</t>
  </si>
  <si>
    <t>-отделка фасада насосной</t>
  </si>
  <si>
    <t>-закладывание проема в комнате хранения оружия</t>
  </si>
  <si>
    <t>-ремонт брусчатки входной группы перед АСК</t>
  </si>
  <si>
    <t>-ремонт системы отопления (здание трибун 2 и 3 этаж)</t>
  </si>
  <si>
    <t>-монтаж навесов, ливнестоков</t>
  </si>
  <si>
    <t>-демонтаж и установка нового ограждения</t>
  </si>
  <si>
    <t>-ремонт коридора и санузла</t>
  </si>
  <si>
    <t>-благоустройство территории (устройство ограждения стадиона и подъездных путей на лыжном стадионе)</t>
  </si>
  <si>
    <t>-демонтаж трибун</t>
  </si>
  <si>
    <t>ПРИЛОЖЕНИЕ</t>
  </si>
  <si>
    <t>Ремонт, рублей</t>
  </si>
  <si>
    <t>-вход для лыжников с оружием</t>
  </si>
  <si>
    <t>-обеспечение инфраструктуры ТВ-производства                          на объекте биатлонного стадиона</t>
  </si>
  <si>
    <t>- устройство входов в подвальные помещения командных домиков</t>
  </si>
  <si>
    <t>6</t>
  </si>
  <si>
    <t xml:space="preserve">Переосвидетельствование, перезарядка и ремонт огнетушителей по всем объектам спортивной школы </t>
  </si>
  <si>
    <t>распоряжением администрации</t>
  </si>
  <si>
    <t>Противопожарные мероприятия, рублей</t>
  </si>
  <si>
    <t>Антитеррористические мероприятия, рублей</t>
  </si>
  <si>
    <t>-ремонт комнат, коридоров, ступеней, которые выходят на трибуны</t>
  </si>
  <si>
    <t>-ремонт помещения и лестничного марша здания АСК</t>
  </si>
  <si>
    <t>-установка сейфов в комнате хранения оружия (бетонирование, крепление)</t>
  </si>
  <si>
    <t>-входная группа Матч-ТВ</t>
  </si>
  <si>
    <t>-огнезащитная обработка стрельбища</t>
  </si>
  <si>
    <t>-приобретение огнетушителей</t>
  </si>
  <si>
    <t>-очистка и огрунтовка металлических конструкций перед нанесением огнезащитного покрытия</t>
  </si>
  <si>
    <t>-монтаж видеонаблюдения                     (КПП1, КПП2, оружейная комната)</t>
  </si>
  <si>
    <t>-монтаж охранной сигнализации (лыжная галерея, АСК, котельная, насосная, очистные)</t>
  </si>
  <si>
    <t xml:space="preserve">-монтаж видеонаблюдения </t>
  </si>
  <si>
    <t>-ремонт туалета</t>
  </si>
  <si>
    <t xml:space="preserve">-ремонт потолка подтрибунного помещения 2 этажа </t>
  </si>
  <si>
    <t xml:space="preserve">-ремонтные работы по подпорной стенке </t>
  </si>
  <si>
    <t xml:space="preserve">-планировка территории </t>
  </si>
  <si>
    <t>-ремонт помещений в домиках</t>
  </si>
  <si>
    <t xml:space="preserve">-облицовка потолков на втором этаже </t>
  </si>
  <si>
    <t xml:space="preserve">-облицовка потолков на первом этаже </t>
  </si>
  <si>
    <t>-ремонт подтрибунных помещений</t>
  </si>
  <si>
    <t>Муниципальное автономное учреждение дополнительного образования «Спортивная школа № 7»</t>
  </si>
  <si>
    <t>ИТОГО по муниципальному автономному учреждению дополнительного образования «Спортивная школа олимпийского резерва № 1 им. С.И. Ишмуратовой Златоустовского городского округа»</t>
  </si>
  <si>
    <t xml:space="preserve">ИТОГО по муниципальному автономному учреждению дополнительного образования «Спортивная школа № 3 Златоустовского городского округа» </t>
  </si>
  <si>
    <t>ИТОГО по муниципальному бюджетному учреждению дополнительного образования «Спортивная школа №4»</t>
  </si>
  <si>
    <t>ИТОГО по муниципальному автономному учреждению дополнительного образования «Спортивная школа олимпийского резерва № 5»</t>
  </si>
  <si>
    <t>ИТОГО по муниципальному автономному учреждению дополнительного образования «Спортивная школа олимпийского резерва № 8 «Уралочка»:</t>
  </si>
  <si>
    <t>итого антитеррористические мероприятия 2908</t>
  </si>
  <si>
    <t>ИТОГО муниципальное автономное учреждение дополнительного образования «Спортивная школа № 7»</t>
  </si>
  <si>
    <t>-строительный контроль: работы по устранению замечаний, выявленных Госстройнадзором (зрительские трибуны  и комментаторские кабины)</t>
  </si>
  <si>
    <t>-дополнительные работы по вип-зоне (покраска, замена дверных блоков, окон, ремонт отопления и прочие работы)</t>
  </si>
  <si>
    <t>-монтаж пожарной сигнализации АСК (Вип-зона)</t>
  </si>
  <si>
    <t>Муниципальное автономное учреждение дополнительного образования «Спортивная школа      № 3 Златоустовского городского округа»</t>
  </si>
  <si>
    <t>Муниципальное бюджетное учреждение дополнительного образования «Спортивная школа        № 4»</t>
  </si>
  <si>
    <t>Монтаж пожарной сигнализации по адресу:                 г. Златоуст, ул. М.С. Урицкого, д. 36а</t>
  </si>
  <si>
    <t>Антитеррористические мероприятия по адресу:                 г. Златоуст,                         проспект им. Ю.А. Гагарина,         5 линия,д.3В: Монтаж системы экстренного оповещения, монтаж охранной сигнализации, монтаж системы видеонаблюдения, приобретение жесткого                 для системы видеонаблюдения, приобретение  металлодетектора</t>
  </si>
  <si>
    <t>Ремонт баскетбольной                   и волейбольной площадки (нанесение разметки), отсыпка футбольного поля (приобретение материалов)</t>
  </si>
  <si>
    <t>-строительный контроль: выполнение работ по кап. ремонту фасада здания АСК</t>
  </si>
  <si>
    <t>-установка временного объекта пешеходного тоннеля               на лыжном стадионе                                 им.С.И.Ишмуратовой  по адресу:  Чел. обл.,  г. Златоуст,  кв. 152</t>
  </si>
  <si>
    <t>ремонт кровли спортивного зала по адресу: г. Златоуст,                   ул. им. В.И. Ленина, д. 1</t>
  </si>
  <si>
    <t xml:space="preserve">Монтаж охранного видеонаблюдения,  проверка сметной документации                по адресу:   г. Златоуст,                    ул. Полетаева, 9а </t>
  </si>
  <si>
    <t xml:space="preserve">Замена воздушной заслонки системы вентиляции  по адресу:    г. Златоуст,                      проспект им. Ю.А. Гагарина,      5 линия, д.3В </t>
  </si>
  <si>
    <t>Антитеррористические мероприятия  по адресу:                           г. Златоуст, ул. Карла Маркса, 28: Монтаж системы экстренного оповещения, работы по увеличению видеоархива системы видеонаблюдения</t>
  </si>
  <si>
    <t>Аварийные работы на теплотрассе по адресу:                     г. Златоуст,                                      ул. М.С. Урицкого,    д. 36а</t>
  </si>
  <si>
    <t>Текущие ремонтные работы спортивных залов  по адресам:      г. Златоуст,                         проспект им. Ю.А. Гагарина,                  5 линия, д.3В; поселок Строителей, д. 2;                                   ул. Рязанова, д. 31</t>
  </si>
  <si>
    <t>приобретение запчастей</t>
  </si>
  <si>
    <t>ремонтные работы 30тр+54,7тр</t>
  </si>
  <si>
    <t>сумма</t>
  </si>
  <si>
    <t xml:space="preserve">приложение </t>
  </si>
  <si>
    <t>замена водопровода (заключение по проверке сметной стоимости )</t>
  </si>
  <si>
    <t xml:space="preserve">наименование </t>
  </si>
  <si>
    <t>ежемесячное обсаживание холодильной  установки 45тр*4 мес.</t>
  </si>
  <si>
    <t xml:space="preserve">итого </t>
  </si>
  <si>
    <t>КБК</t>
  </si>
  <si>
    <t>ИТОГО</t>
  </si>
  <si>
    <r>
      <rPr>
        <sz val="22"/>
        <color theme="1"/>
        <rFont val="Times New Roman"/>
        <family val="1"/>
        <charset val="204"/>
      </rPr>
      <t>Смета</t>
    </r>
    <r>
      <rPr>
        <sz val="14"/>
        <color theme="1"/>
        <rFont val="Times New Roman"/>
        <family val="1"/>
        <charset val="204"/>
      </rPr>
      <t xml:space="preserve"> </t>
    </r>
  </si>
  <si>
    <t>119 1101 1200200800 622 241 000 400 2901</t>
  </si>
  <si>
    <t>119 1101 1200200800 622 241 307 400 1400</t>
  </si>
  <si>
    <t xml:space="preserve">ремонт стадиона (водоотведение) по адресу             г. Златоуст, проспект Гагарина,       5 -я линия д.3В                                   МАУДО СШ №3  </t>
  </si>
  <si>
    <t xml:space="preserve">Монтаж, проверка сметной документации автоматической пожарной сигнализации            и системы оповещения о пожаре в помещениях спортивной школы,   по адресу:                                              г. Златоуст,    ул. М.С. Урицкого, д. 36а                                       ул. Полетаева, 9а </t>
  </si>
  <si>
    <t xml:space="preserve">уточнение противопожарные мероприятия </t>
  </si>
  <si>
    <t xml:space="preserve">Ремонт холодильного оборудования </t>
  </si>
  <si>
    <t>итого ремонт</t>
  </si>
  <si>
    <t>Работы по погрузке, разгрузке грунта и планировке территории спецтехникой в целях подготовки зон для размещения дополнительных галерей, гимнастического городка, горы откатки и разминочного круга</t>
  </si>
  <si>
    <t>-монтаж охранно-пожарной сигнализации  на КХО,                              ул. Спортивная 1К</t>
  </si>
  <si>
    <t xml:space="preserve">итого противопожарные мероприятия </t>
  </si>
  <si>
    <t>уточнение Антитеррористические мероприятия</t>
  </si>
  <si>
    <t>итого Антитеррористические мероприятия</t>
  </si>
  <si>
    <t>разработка проектно-сметной документации сигнализации и системы оповещения в подтрибунных помещениях</t>
  </si>
  <si>
    <t>ПОЯСНИТЕЛЬНАЯ                                                                                                                                                                                                                                                                           Перечень объектов и работ по ремонтам, противопожарным  и антитеррористическим 
мероприятиям в учреждениях, 
подведомственных муниципальному казенному учреждению Управление по физической культуре и спорту Златоустовского городского округа на 2024 год</t>
  </si>
  <si>
    <t>Восстановление огнезащитного покрытия элементов конструкций кровли здания ФОК «Таганай», проверка сметной документации  по адресу:         г. Златоуст, пр. Мира, 45</t>
  </si>
  <si>
    <t>Проверка сметной документации на восстановление огнезащитного покрытия элементов кровли. Проверка работоспособности внутреннего и внешнего противопожарного водопровода, замена пожарного гидранта   г. Златоуст, пр. Мира 45</t>
  </si>
  <si>
    <t>Составление дефектных ведомостей и сметной документации на замену подвесных потолков, устройство козырька               над входом в гараж, замена электропроводки, ремонт кровли, устройства роликодрома. Ремонт пандуса для инвалидов по адресу: г. Златоуст, посёлок Айский,  дом 2, пр. Мира 45</t>
  </si>
  <si>
    <t>Выполнение работ по разработке рабочей документации систем пожарной сигнализации и оповещения о пожаре (СПС и СОУЭ) в соответствии с нормативной документацией для объекта: Нежилое здание-спорткомплекс, расположенного по адресу: г. Златоуст, улица имени Карла Маркса, д. 28.</t>
  </si>
  <si>
    <t>Ремонт холодильного оборудования (РЕЗЕРВ)</t>
  </si>
  <si>
    <t xml:space="preserve">Ремонт фасада зданий,  асфальтирование прилегающих территорий (сметная документация), по адресу:              г. Златоуст,                                   ул. М.С. Урицкого, д. 36а         ул. Полетаева, 9а </t>
  </si>
  <si>
    <t>Установка тревожной кнопки          и оповещения людей                 при чрезвычайных ситуациях, проверка сметной документации          по адресам:
г. Златоуст, ул. Полетаева, 9а,        ул. Урицкого, 36а</t>
  </si>
  <si>
    <t>Герметизация вентиляционных выходов на крышу в здании ФОК "Таганай", по адресу г. Златоуст, пр. Мира, д. 45, проверка сметной документации</t>
  </si>
  <si>
    <t>Герметизация вентиляционных выходов на крышу в здании ФОК "Таганай", по адресу г. Златоуст, пр. Мира, д. 45, проверка сметной документации (уточнение №47- ЗГО от 01.11.2024г.)</t>
  </si>
  <si>
    <t>Проверка работоспособности внутреннего и внешнего противопожарного водопровода, противопож.двери, окна, огнетушители (уточнение 47-ЗГО от  01.11.2024г. )</t>
  </si>
  <si>
    <t>проверка сметной документации на благоустройство территории спортивного комплекса "Металлург" по адресу: г. Златоуст, улица имени Карла Маркса, д. 28/2</t>
  </si>
  <si>
    <t>должно быть ассиг</t>
  </si>
  <si>
    <t>Работы по составлению дефектной ведомости  и сметной документации на ремонт  универсальной спортивной площадки по адресу: г. Златоуст, улица имени Карла Маркса, д. 28</t>
  </si>
  <si>
    <t>Проверка работоспособности внутреннего и внешнего противопожарного водопровода, противопожарные двери, окна, перезарядка огнетушителей</t>
  </si>
  <si>
    <t>Проверка сметной документации Проверка работоспособности внутреннего и внешнего противопожарного водопровода, замена пожарного гидранта  г. Златоуст, пр. Мира 45</t>
  </si>
  <si>
    <t>уточнение по факту выполненных работ  ремонт</t>
  </si>
  <si>
    <t>- обеспечение телекоммуникационной инфраструктуры на объекте биатлонного стадиона (завершающий этап)</t>
  </si>
  <si>
    <t xml:space="preserve">-выполнение работ по устройству полимерных покрытий на трибунах </t>
  </si>
  <si>
    <t xml:space="preserve">-ремонтно-строительные работы по замене кровли трибун </t>
  </si>
  <si>
    <t>-работы по погрузке, разгрузке и перевозке (спецтехника) в целях подготовки зон к земляным работам для размещения дополнительных галерей, гимнастического городка, горы откатки лыжи разминочного круга</t>
  </si>
  <si>
    <t>-заказчику работы по вырубки лесных насаждений в целях подготовки зон к земляным работам для размещения дополнительных галерей, гимнастического городка, горы откатки лыжи разминочного круга</t>
  </si>
  <si>
    <t>-работы по перевозке (спецтехника) в целях подготовки зон к земляным работам для размещения дополнительных галерей, гимнастического городка, горы откатки лыжи разминочного круга</t>
  </si>
  <si>
    <t>-работы по монтажу (установке) монтаж полимерного настила зрительских трибун, резиновых ковриков командных домиков и тоннеля по адресу: г. Златоуст, ул. Спортивная 1К</t>
  </si>
  <si>
    <t>-текущий ремонт командных домиков</t>
  </si>
  <si>
    <t>-строительно-монтажные работы в помещениях и на территории МАУДО «СШОР № 1» расположенных по адресу: г. Златоуст ул. Спортивная 1 К</t>
  </si>
  <si>
    <t xml:space="preserve">-изготовление дизайн проекта санузлов </t>
  </si>
  <si>
    <t>-изготовление мастер-план (зонирование территории)</t>
  </si>
  <si>
    <t>-выполнение работ по  возведению Основания (постамента) под скульптуру,  на территории МАУДО «СШОР№1» г. Златоуст, ул. Спортивная 1К</t>
  </si>
  <si>
    <t>-работы по замене двери комнаты хранения оружия, решетчатой двери и решеток в комнате хранения оружия с монтажом</t>
  </si>
  <si>
    <t>-работы по усилению пулеперехвата в полузакрытом тире</t>
  </si>
  <si>
    <t>-работы по погрузке, разгрузке грунта и планировке территории спецтехникой в целях подготовки зон для размещения дополнительных галерей, гимнастического городка, горы откатки и разминочного круга</t>
  </si>
  <si>
    <t>-работы по вырубки лесных насаждений в целях подготовки зон к земляным работам для размещения дополнительных галерей, гимнастического городка, горы откатки лыжи разминочного круга</t>
  </si>
  <si>
    <t>- работы по погрузке, разгрузке и перевозке (спецтехника) в целях подготовки зон к земляным работам для размещения дополнительных галерей, гимнастического городка, горы откатки лыжи разминочного круга</t>
  </si>
  <si>
    <t>-ремонтно-строительные работы по замене кровли трибун (авансовый платеж 30%)</t>
  </si>
  <si>
    <t>-обеспечение телекоммуникационной инфраструктуры на объекте биатлонного стадиона (завершающий этап)</t>
  </si>
  <si>
    <t>-разработка проектно-сметной документации сигнализации и системы оповещения в подтрибунных помещениях</t>
  </si>
  <si>
    <t xml:space="preserve">ремонт стадиона (водоотведение стадиона, монтаж покрытия мини-футбольного поля(с разметкой) из искусственной травы;      монтаж спортивного покрытия из наливной резины с пигментом для беговых дорожек  по адресу   г. Златоуст, проспект Гагарина,       5 -я линия д.3В  </t>
  </si>
  <si>
    <t xml:space="preserve">Установка системы видеонаблюдения по адресу;  г. Златоуст,    Мира,     д. 45, поселок Айский д.2 </t>
  </si>
  <si>
    <t>Составление дефектных ведомостей и сметной документации на замену подвесных потолков, устройство козырька               над входом в гараж, замена электропроводки, ремонт кровли, устройство роликодрома. Ремонт пандуса для инвалидов по адресу: г. Златоуст, посёлок Айский,  дом 2,  пр. Мира 45</t>
  </si>
  <si>
    <t>Выполнение работ по разработке рабочей документации систем пожарной сигнализации и оповещения о пожаре (СПС и СОУЭ) в соответствии с нормативной документацией для объекта: Нежилое здание-спорткомплекс, расположенного по адресу: г. Златоуст, улица имени Карла Маркса, д. 28</t>
  </si>
  <si>
    <t xml:space="preserve">Ремонт помещений № 27, 28, 29, 30, 31, 36  по адресу: г. Златоуст,                                               пл. 3  Интернационала, д. 12  (              </t>
  </si>
  <si>
    <t>Замена наружного трубопровода, работы по составлению сметной документации (заменена труб)  по адресу:              г. Златоуст,                                   ул. М.С. Урицкого, д. 36а</t>
  </si>
  <si>
    <t xml:space="preserve">Установка системы видеонаблюдения  г. Златоуст,    Мира,     д. 45, поселок Айский д.2 </t>
  </si>
  <si>
    <t>Замена подвесных потолков, устройство козырька над входом в гараж, замена электропроводки, ремонт кровли по адресу; г. Златоуст, поселок Айский, дом 2</t>
  </si>
  <si>
    <t>Ремонт помещений номер 1, 2, 3, 7, 8, 9 первого этажа и номер 1 подвала нежилого здания крыльца фасада здания, проверка проектно-сметной документации,  по адресу: г. Златоуст,                            ул. им. Карла Маркса, дом 2</t>
  </si>
  <si>
    <t xml:space="preserve">Монтаж охранной и тревожной сигнализации  в нежилых помещениях - Спортивный комплекс "МАУДО СШОР № 8" по адресу:  г. Златоуст.,             ул. имени Карла Маркса д.28; Монтаж системы экстренного оповещения в помещении плавательного бассейна "Сталь" МАУДО "СШОР №8" по адресу: г. Златоуст,                                                       ул. имени Карла Макса  д.26, помещение 2 </t>
  </si>
  <si>
    <t xml:space="preserve">Работы по пересчёту сводного сметного расчета на капитальный ремонт подпорной стенки по адресу: г. Златоуст, улица имени Карла Маркса, д. 28. </t>
  </si>
  <si>
    <t xml:space="preserve">Проверка сметной документации, ремонт обходной дорожки бассейна "Сталь" в нежилом помещении 2-ой этап, монтаж алюминиевой двери по адресу: г. Златоуст,                                                       ул. имени Карла Макса  д.26, помещение 2 </t>
  </si>
  <si>
    <t>Работы на объекте            Лыжно-биатлонный комплекс  им.С.И.Ишмуратовой               по адресу г. Златоуст,                  ул. Спортивная, 1К,                    в том числе:</t>
  </si>
  <si>
    <t>Ремонт душевых спортивного зала по адресу: г. Златоуст,                ул. им. В.И. Ленина, д.1</t>
  </si>
  <si>
    <t>Ремонт помещений номер 1, 2, 3, 7, 8, 9 первого этажа и номер 1 подвала нежилого здания крыльца фасада здания, проверка проектно-сметной документации,  по адресу: г. Златоуст,                            ул. им. Карла Маркса, дом 28</t>
  </si>
  <si>
    <t xml:space="preserve">Проверка сметной документации на систему видеонаблюдения, замена водопровода, покраска коридоров, ремонт коридоров, лестничных маршей, герметизация вентиляционных выходов  </t>
  </si>
  <si>
    <t>Замена водопровода, теплопровода спортивного комплекса Таганай по адресу: г. Златоуст, ,  пр. Мира 45;               ремонт наружных сетей теплоснабжения по адресу: г. Златоуст, посёлок Айский дом 2</t>
  </si>
  <si>
    <t xml:space="preserve">Замена водопровода, теплопровода спортивный комплекс Таганай по адресу. Златоуст, ,  пр. Мира 45;   ремонт наружных сетей теплоснабжения по адресу:  г. Златоуст, посёлок Айский) </t>
  </si>
  <si>
    <t>Проверка сметной документации на систему видеонаблюдения, замена водопровода, покраска коридоров, ремонт коридоров, лестничных маршей, герметизация вентиляционных выходов   (уточнение 47-ЗГО от  01.11.2024г. )</t>
  </si>
  <si>
    <t>Перечень объектов и работ по ремонтам, противопожарным  и антитеррористическим мероприятиям                                             в учреждениях, подведомственных муниципальному казенному учреждению                                                                      Управление по физической культуре и спорту Златоустовского городского округа на 2024 год</t>
  </si>
  <si>
    <t>Работы на объекте Лыжно-биатлонный комплекс  им.С.И.Ишмуратовой  по адресу г. Златоуст, ул. Спортивная, 1К,  в том числе:</t>
  </si>
  <si>
    <t>Муниципальное автономное учреждение дополнительного образования «Спортивная школа олимпийского резерва                                                                                                                             № 1 им. С.И. Ишмуратовой Златоустовского городского округа»</t>
  </si>
  <si>
    <t>-монтаж охранно-пожарной сигнализации КХО, ул. Спортивная 1К</t>
  </si>
  <si>
    <t>-выполнение работ по  возведению основания (постамента) под скульптуру,  на территории МАУДО «СШОР № 1» г. Златоуст, ул. Спортивная 1К</t>
  </si>
  <si>
    <t>Ремонт душевых спортивного зала по адресу: г. Златоуст, ул. им. В.И. Ленина, д.1</t>
  </si>
  <si>
    <t>Муниципальное автономное учреждение дополнительного образования «Спортивная школа                                                                                                  № 3 Златоустовского городского округа»</t>
  </si>
  <si>
    <t>Аварийные работы на теплотрассе                                                                    по адресу:  г. Златоуст,  ул. М.С. Урицкого,  д. 36а</t>
  </si>
  <si>
    <t xml:space="preserve">Ремонт фасада зданий,  асфальтирование прилегающих территорий (сметная документация) по адресу:  г. Златоуст,  ул. М.С. Урицкого, д. 36а, ул. Полетаева, 9а </t>
  </si>
  <si>
    <t xml:space="preserve">Монтаж охранного видеонаблюдения,  проверка сметной документации по адресу:   г. Златоуст, ул. Полетаева, 9а </t>
  </si>
  <si>
    <t>Установка тревожной кнопки и оповещения людей  при чрезвычайных ситуациях, проверка сметной документации   по адресам: г. Златоуст, ул. Полетаева, 9а,   ул. Урицкого, 36а</t>
  </si>
  <si>
    <t>ИТОГО по муниципальному бюджетному учреждению дополнительного образования «Спортивная школа № 4»</t>
  </si>
  <si>
    <t>Антитеррористические мероприятия по адресу:  г. Златоуст, проспект им. Ю.А. Гагарина, 5 линия,д.3В: Монтаж системы экстренного оповещения, монтаж охранной сигнализации, монтаж системы видеонаблюдения, приобретение жесткого  для системы видеонаблюдения, приобретение  металлодетектора. Проверка сметной документации</t>
  </si>
  <si>
    <t>Антитеррористические мероприятия  по адресу: г. Златоуст, ул. Карла Маркса, 28: Монтаж системы экстренного оповещения, работы по увеличению видеоархива системы видеонаблюдения. Проверка сметной документации</t>
  </si>
  <si>
    <t xml:space="preserve">Замена воздушной заслонки системы вентиляции  по адресу:    г. Златоуст,  проспект им. Ю.А. Гагарина, 5 линия, д.3В </t>
  </si>
  <si>
    <t>Текущие ремонтные работы спортивных залов,    по адресам:            г. Златоуст,  проспект им. Ю.А. Гагарина,  5 линия, д.3В; поселок Строителей, д. 2;   ул. Рязанова, д. 31.  Составление сметной документации.</t>
  </si>
  <si>
    <t>Проверка сметной документации на восстановление огнезащитного покрытия элементов кровли. Восстановление огнезащитного покрытия элементов конструкций кровли здания ФОК «Таганай»                 по адресу: г. Златоуст, пр. Мира, 45</t>
  </si>
  <si>
    <t xml:space="preserve">Проверка сметной документации, монтаж охранной и тревожной сигнализации  в нежилых помещениях - Спортивный комплекс "МАУДО СШОР № 8" по адресу:  г. Златоуст.,             ул. имени Карла Маркса д.28; Проверка сметной документации, монтаж системы экстренного оповещения в помещении плавательного бассейна "Сталь" МАУДО "СШОР № 8" по адресу: г. Златоуст,                                                       ул. имени Карла Макса  д. 26, помещение 2 </t>
  </si>
  <si>
    <t xml:space="preserve">Проверка сметной документации, ремонт обходной дорожки бассейна "Сталь" в нежилом помещении  2-ой этап, монтаж алюминиевой двери по адресу: г. Златоуст, ул. имени Карла Макса  д.26, помещение 2 </t>
  </si>
  <si>
    <t xml:space="preserve">Ремонт помещений № 27, 28, 29, 30, 31, 36  по адресу: г. Златоуст,                           пл. 3  Интернационала, д. 12             </t>
  </si>
  <si>
    <t>-обеспечение инфраструктуры ТВ-производства на объекте биатлонного стадиона</t>
  </si>
  <si>
    <t>Замена наружного трубопровода, работы по составлению сметной документации (заменена труб)  по адресу:  г. Златоуст,    ул. М.С. Урицкого, д. 36а</t>
  </si>
  <si>
    <t xml:space="preserve">Монтаж, проверка сметной документации автоматической пожарной сигнализации  и системы оповещения о пожаре в помещениях спортивной школы,   по адресу:   г. Златоуст,    ул. М.С. Урицкого, д. 36а,   ул. Полетаева, 9а </t>
  </si>
  <si>
    <t>от 06.12.2024 г. № 3504-р/АДМ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</si>
</sst>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2">
    <xf numFmtId="0" fontId="0" fillId="0" borderId="0" xfId="0"/>
    <xf numFmtId="4" fontId="2" fillId="2" borderId="1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1" fillId="0" borderId="0" xfId="0" applyNumberFormat="1" applyFont="1" applyAlignment="1">
      <alignment horizontal="justify"/>
    </xf>
    <xf numFmtId="4" fontId="1" fillId="0" borderId="0" xfId="0" applyNumberFormat="1" applyFont="1"/>
    <xf numFmtId="4" fontId="5" fillId="0" borderId="1" xfId="0" applyNumberFormat="1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justify" wrapText="1"/>
    </xf>
    <xf numFmtId="4" fontId="2" fillId="2" borderId="1" xfId="0" applyNumberFormat="1" applyFont="1" applyFill="1" applyBorder="1" applyAlignment="1">
      <alignment horizontal="justify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 applyAlignment="1">
      <alignment horizontal="center"/>
    </xf>
    <xf numFmtId="0" fontId="2" fillId="0" borderId="3" xfId="0" applyFont="1" applyBorder="1" applyAlignment="1">
      <alignment vertical="center" wrapText="1"/>
    </xf>
    <xf numFmtId="4" fontId="2" fillId="2" borderId="1" xfId="0" applyNumberFormat="1" applyFont="1" applyFill="1" applyBorder="1" applyAlignment="1">
      <alignment vertical="top" wrapText="1"/>
    </xf>
    <xf numFmtId="4" fontId="10" fillId="3" borderId="0" xfId="0" applyNumberFormat="1" applyFont="1" applyFill="1"/>
    <xf numFmtId="4" fontId="0" fillId="3" borderId="0" xfId="0" applyNumberFormat="1" applyFill="1"/>
    <xf numFmtId="0" fontId="11" fillId="3" borderId="5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 wrapText="1"/>
    </xf>
    <xf numFmtId="4" fontId="0" fillId="3" borderId="1" xfId="0" applyNumberFormat="1" applyFill="1" applyBorder="1"/>
    <xf numFmtId="4" fontId="12" fillId="3" borderId="6" xfId="0" applyNumberFormat="1" applyFont="1" applyFill="1" applyBorder="1" applyAlignment="1">
      <alignment horizontal="center" vertical="center" wrapText="1"/>
    </xf>
    <xf numFmtId="4" fontId="5" fillId="3" borderId="7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13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3" borderId="1" xfId="0" applyNumberFormat="1" applyFont="1" applyFill="1" applyBorder="1" applyAlignment="1">
      <alignment horizontal="right" vertical="center" wrapText="1"/>
    </xf>
    <xf numFmtId="4" fontId="13" fillId="3" borderId="1" xfId="0" applyNumberFormat="1" applyFont="1" applyFill="1" applyBorder="1" applyAlignment="1">
      <alignment horizontal="right" vertical="center" wrapText="1"/>
    </xf>
    <xf numFmtId="4" fontId="14" fillId="3" borderId="1" xfId="0" applyNumberFormat="1" applyFont="1" applyFill="1" applyBorder="1" applyAlignment="1">
      <alignment horizontal="right" vertical="center" wrapText="1"/>
    </xf>
    <xf numFmtId="4" fontId="0" fillId="3" borderId="1" xfId="0" applyNumberForma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right" vertical="center" wrapText="1"/>
    </xf>
    <xf numFmtId="4" fontId="13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vertical="center"/>
    </xf>
    <xf numFmtId="4" fontId="10" fillId="3" borderId="1" xfId="0" applyNumberFormat="1" applyFont="1" applyFill="1" applyBorder="1" applyAlignment="1">
      <alignment horizontal="center" vertical="center"/>
    </xf>
    <xf numFmtId="4" fontId="0" fillId="3" borderId="1" xfId="0" applyNumberFormat="1" applyFill="1" applyBorder="1" applyAlignment="1" applyProtection="1">
      <alignment horizontal="center" vertical="center"/>
      <protection locked="0"/>
    </xf>
    <xf numFmtId="4" fontId="0" fillId="3" borderId="1" xfId="0" applyNumberFormat="1" applyFill="1" applyBorder="1" applyAlignment="1">
      <alignment vertical="center"/>
    </xf>
    <xf numFmtId="4" fontId="14" fillId="3" borderId="1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4" fontId="1" fillId="3" borderId="0" xfId="0" applyNumberFormat="1" applyFont="1" applyFill="1"/>
    <xf numFmtId="4" fontId="5" fillId="3" borderId="6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justify" wrapText="1"/>
    </xf>
    <xf numFmtId="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justify" vertical="center" wrapText="1"/>
      <protection locked="0"/>
    </xf>
    <xf numFmtId="4" fontId="1" fillId="3" borderId="1" xfId="0" applyNumberFormat="1" applyFont="1" applyFill="1" applyBorder="1" applyAlignment="1">
      <alignment horizontal="center" wrapText="1"/>
    </xf>
    <xf numFmtId="4" fontId="1" fillId="3" borderId="1" xfId="0" applyNumberFormat="1" applyFont="1" applyFill="1" applyBorder="1"/>
    <xf numFmtId="0" fontId="1" fillId="3" borderId="1" xfId="0" applyFont="1" applyFill="1" applyBorder="1" applyAlignment="1">
      <alignment horizont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4" fontId="2" fillId="2" borderId="7" xfId="0" applyNumberFormat="1" applyFont="1" applyFill="1" applyBorder="1" applyAlignment="1">
      <alignment horizontal="justify" wrapText="1"/>
    </xf>
    <xf numFmtId="49" fontId="2" fillId="3" borderId="1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4" fontId="4" fillId="3" borderId="1" xfId="0" applyNumberFormat="1" applyFont="1" applyFill="1" applyBorder="1" applyAlignment="1">
      <alignment horizontal="center" vertical="center"/>
    </xf>
    <xf numFmtId="4" fontId="2" fillId="3" borderId="0" xfId="0" applyNumberFormat="1" applyFont="1" applyFill="1"/>
    <xf numFmtId="4" fontId="16" fillId="3" borderId="0" xfId="0" applyNumberFormat="1" applyFont="1" applyFill="1"/>
    <xf numFmtId="4" fontId="16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16" fillId="3" borderId="1" xfId="0" applyNumberFormat="1" applyFont="1" applyFill="1" applyBorder="1" applyAlignment="1">
      <alignment horizontal="right" vertical="center" wrapText="1"/>
    </xf>
    <xf numFmtId="4" fontId="16" fillId="3" borderId="1" xfId="0" applyNumberFormat="1" applyFont="1" applyFill="1" applyBorder="1" applyAlignment="1">
      <alignment horizontal="center" vertical="center" wrapText="1"/>
    </xf>
    <xf numFmtId="4" fontId="5" fillId="3" borderId="0" xfId="0" applyNumberFormat="1" applyFont="1" applyFill="1"/>
    <xf numFmtId="49" fontId="5" fillId="3" borderId="0" xfId="0" applyNumberFormat="1" applyFont="1" applyFill="1" applyAlignment="1">
      <alignment wrapText="1"/>
    </xf>
    <xf numFmtId="49" fontId="2" fillId="3" borderId="1" xfId="0" applyNumberFormat="1" applyFont="1" applyFill="1" applyBorder="1" applyAlignment="1" applyProtection="1">
      <alignment horizontal="left" vertical="center" wrapText="1"/>
      <protection locked="0"/>
    </xf>
    <xf numFmtId="4" fontId="16" fillId="3" borderId="1" xfId="0" applyNumberFormat="1" applyFont="1" applyFill="1" applyBorder="1"/>
    <xf numFmtId="49" fontId="2" fillId="3" borderId="1" xfId="0" applyNumberFormat="1" applyFont="1" applyFill="1" applyBorder="1" applyAlignment="1">
      <alignment horizontal="justify" vertical="center" wrapText="1"/>
    </xf>
    <xf numFmtId="4" fontId="16" fillId="3" borderId="1" xfId="0" applyNumberFormat="1" applyFont="1" applyFill="1" applyBorder="1" applyAlignment="1">
      <alignment horizontal="center" wrapText="1"/>
    </xf>
    <xf numFmtId="4" fontId="3" fillId="3" borderId="1" xfId="0" applyNumberFormat="1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4" fontId="16" fillId="3" borderId="1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right" vertical="center"/>
    </xf>
    <xf numFmtId="4" fontId="5" fillId="3" borderId="1" xfId="0" applyNumberFormat="1" applyFont="1" applyFill="1" applyBorder="1"/>
    <xf numFmtId="3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3" borderId="1" xfId="0" applyNumberFormat="1" applyFont="1" applyFill="1" applyBorder="1" applyAlignment="1">
      <alignment vertical="center" wrapText="1"/>
    </xf>
    <xf numFmtId="49" fontId="2" fillId="3" borderId="7" xfId="0" applyNumberFormat="1" applyFont="1" applyFill="1" applyBorder="1" applyAlignment="1">
      <alignment horizontal="justify" vertical="top" wrapText="1"/>
    </xf>
    <xf numFmtId="49" fontId="2" fillId="3" borderId="1" xfId="0" applyNumberFormat="1" applyFont="1" applyFill="1" applyBorder="1" applyAlignment="1">
      <alignment vertical="top" wrapText="1"/>
    </xf>
    <xf numFmtId="49" fontId="2" fillId="3" borderId="7" xfId="0" applyNumberFormat="1" applyFont="1" applyFill="1" applyBorder="1" applyAlignment="1">
      <alignment vertical="top" wrapText="1"/>
    </xf>
    <xf numFmtId="49" fontId="2" fillId="3" borderId="7" xfId="0" applyNumberFormat="1" applyFont="1" applyFill="1" applyBorder="1" applyAlignment="1">
      <alignment horizontal="left" vertical="top" wrapText="1"/>
    </xf>
    <xf numFmtId="49" fontId="2" fillId="3" borderId="1" xfId="0" applyNumberFormat="1" applyFont="1" applyFill="1" applyBorder="1" applyAlignment="1">
      <alignment horizontal="left" vertical="top" wrapText="1"/>
    </xf>
    <xf numFmtId="4" fontId="16" fillId="3" borderId="0" xfId="0" applyNumberFormat="1" applyFont="1" applyFill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49" fontId="1" fillId="0" borderId="0" xfId="0" applyNumberFormat="1" applyFont="1"/>
    <xf numFmtId="0" fontId="1" fillId="0" borderId="7" xfId="0" applyFont="1" applyBorder="1" applyAlignment="1">
      <alignment wrapText="1"/>
    </xf>
    <xf numFmtId="0" fontId="1" fillId="0" borderId="7" xfId="0" applyFont="1" applyBorder="1"/>
    <xf numFmtId="49" fontId="19" fillId="0" borderId="1" xfId="0" applyNumberFormat="1" applyFont="1" applyBorder="1"/>
    <xf numFmtId="49" fontId="19" fillId="0" borderId="1" xfId="0" applyNumberFormat="1" applyFont="1" applyBorder="1" applyProtection="1">
      <protection locked="0"/>
    </xf>
    <xf numFmtId="4" fontId="19" fillId="0" borderId="1" xfId="0" applyNumberFormat="1" applyFont="1" applyBorder="1"/>
    <xf numFmtId="0" fontId="19" fillId="0" borderId="0" xfId="0" applyFont="1"/>
    <xf numFmtId="0" fontId="19" fillId="0" borderId="1" xfId="0" applyFont="1" applyBorder="1"/>
    <xf numFmtId="0" fontId="1" fillId="0" borderId="9" xfId="0" applyFont="1" applyBorder="1" applyAlignment="1">
      <alignment horizontal="center" vertical="center"/>
    </xf>
    <xf numFmtId="4" fontId="19" fillId="0" borderId="0" xfId="0" applyNumberFormat="1" applyFont="1"/>
    <xf numFmtId="4" fontId="2" fillId="3" borderId="9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top" wrapText="1"/>
    </xf>
    <xf numFmtId="0" fontId="0" fillId="0" borderId="8" xfId="0" applyBorder="1" applyAlignment="1">
      <alignment horizontal="center" vertical="center" wrapText="1"/>
    </xf>
    <xf numFmtId="0" fontId="5" fillId="3" borderId="0" xfId="0" applyFont="1" applyFill="1"/>
    <xf numFmtId="0" fontId="8" fillId="3" borderId="8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left" vertical="top" wrapText="1"/>
    </xf>
    <xf numFmtId="4" fontId="16" fillId="3" borderId="7" xfId="0" applyNumberFormat="1" applyFont="1" applyFill="1" applyBorder="1" applyAlignment="1">
      <alignment horizontal="center" wrapText="1"/>
    </xf>
    <xf numFmtId="4" fontId="21" fillId="3" borderId="0" xfId="0" applyNumberFormat="1" applyFont="1" applyFill="1"/>
    <xf numFmtId="0" fontId="14" fillId="3" borderId="9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4" fontId="19" fillId="3" borderId="1" xfId="0" applyNumberFormat="1" applyFont="1" applyFill="1" applyBorder="1" applyAlignment="1">
      <alignment horizontal="right" vertical="center" wrapText="1"/>
    </xf>
    <xf numFmtId="4" fontId="21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21" fillId="3" borderId="1" xfId="0" applyNumberFormat="1" applyFont="1" applyFill="1" applyBorder="1" applyAlignment="1">
      <alignment horizontal="right" vertical="center" wrapText="1"/>
    </xf>
    <xf numFmtId="4" fontId="21" fillId="3" borderId="1" xfId="0" applyNumberFormat="1" applyFont="1" applyFill="1" applyBorder="1" applyAlignment="1">
      <alignment vertical="center" wrapText="1"/>
    </xf>
    <xf numFmtId="4" fontId="21" fillId="3" borderId="1" xfId="0" applyNumberFormat="1" applyFont="1" applyFill="1" applyBorder="1"/>
    <xf numFmtId="4" fontId="21" fillId="3" borderId="1" xfId="0" applyNumberFormat="1" applyFont="1" applyFill="1" applyBorder="1" applyAlignment="1">
      <alignment horizontal="center" vertical="center" wrapText="1"/>
    </xf>
    <xf numFmtId="4" fontId="23" fillId="3" borderId="1" xfId="0" applyNumberFormat="1" applyFont="1" applyFill="1" applyBorder="1"/>
    <xf numFmtId="4" fontId="21" fillId="3" borderId="1" xfId="0" applyNumberFormat="1" applyFont="1" applyFill="1" applyBorder="1" applyAlignment="1">
      <alignment horizontal="right" vertical="center"/>
    </xf>
    <xf numFmtId="4" fontId="21" fillId="3" borderId="1" xfId="0" applyNumberFormat="1" applyFont="1" applyFill="1" applyBorder="1" applyAlignment="1">
      <alignment horizontal="center" wrapText="1"/>
    </xf>
    <xf numFmtId="4" fontId="21" fillId="3" borderId="0" xfId="0" applyNumberFormat="1" applyFont="1" applyFill="1" applyAlignment="1">
      <alignment horizontal="center"/>
    </xf>
    <xf numFmtId="0" fontId="23" fillId="3" borderId="0" xfId="0" applyFont="1" applyFill="1"/>
    <xf numFmtId="4" fontId="4" fillId="3" borderId="9" xfId="0" applyNumberFormat="1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4" fontId="19" fillId="3" borderId="1" xfId="0" applyNumberFormat="1" applyFont="1" applyFill="1" applyBorder="1"/>
    <xf numFmtId="4" fontId="19" fillId="3" borderId="1" xfId="0" applyNumberFormat="1" applyFont="1" applyFill="1" applyBorder="1" applyAlignment="1">
      <alignment horizontal="center" vertical="center" wrapText="1"/>
    </xf>
    <xf numFmtId="4" fontId="19" fillId="3" borderId="1" xfId="0" applyNumberFormat="1" applyFont="1" applyFill="1" applyBorder="1" applyAlignment="1">
      <alignment horizontal="right" vertical="center"/>
    </xf>
    <xf numFmtId="4" fontId="19" fillId="3" borderId="0" xfId="0" applyNumberFormat="1" applyFont="1" applyFill="1"/>
    <xf numFmtId="4" fontId="21" fillId="3" borderId="7" xfId="0" applyNumberFormat="1" applyFont="1" applyFill="1" applyBorder="1" applyAlignment="1">
      <alignment horizontal="center" wrapText="1"/>
    </xf>
    <xf numFmtId="0" fontId="19" fillId="3" borderId="1" xfId="0" applyFont="1" applyFill="1" applyBorder="1" applyAlignment="1">
      <alignment horizontal="center" wrapText="1"/>
    </xf>
    <xf numFmtId="4" fontId="2" fillId="4" borderId="9" xfId="0" applyNumberFormat="1" applyFont="1" applyFill="1" applyBorder="1" applyAlignment="1">
      <alignment horizontal="center" vertical="center" wrapText="1"/>
    </xf>
    <xf numFmtId="4" fontId="4" fillId="4" borderId="9" xfId="0" applyNumberFormat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right" vertical="center" wrapText="1"/>
    </xf>
    <xf numFmtId="4" fontId="19" fillId="4" borderId="1" xfId="0" applyNumberFormat="1" applyFont="1" applyFill="1" applyBorder="1" applyAlignment="1">
      <alignment horizontal="right" vertical="center" wrapText="1"/>
    </xf>
    <xf numFmtId="4" fontId="16" fillId="4" borderId="1" xfId="0" applyNumberFormat="1" applyFont="1" applyFill="1" applyBorder="1" applyAlignment="1">
      <alignment horizontal="right" vertical="center" wrapText="1"/>
    </xf>
    <xf numFmtId="4" fontId="21" fillId="4" borderId="1" xfId="0" applyNumberFormat="1" applyFont="1" applyFill="1" applyBorder="1" applyAlignment="1">
      <alignment horizontal="right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4" fontId="19" fillId="4" borderId="1" xfId="0" applyNumberFormat="1" applyFont="1" applyFill="1" applyBorder="1" applyAlignment="1">
      <alignment horizontal="center" vertical="center" wrapText="1"/>
    </xf>
    <xf numFmtId="4" fontId="16" fillId="4" borderId="1" xfId="0" applyNumberFormat="1" applyFont="1" applyFill="1" applyBorder="1" applyAlignment="1">
      <alignment horizontal="center" vertical="center" wrapText="1"/>
    </xf>
    <xf numFmtId="4" fontId="21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16" fillId="4" borderId="1" xfId="0" applyNumberFormat="1" applyFont="1" applyFill="1" applyBorder="1" applyAlignment="1">
      <alignment horizontal="center" wrapText="1"/>
    </xf>
    <xf numFmtId="4" fontId="21" fillId="4" borderId="1" xfId="0" applyNumberFormat="1" applyFont="1" applyFill="1" applyBorder="1" applyAlignment="1">
      <alignment horizontal="center" wrapText="1"/>
    </xf>
    <xf numFmtId="4" fontId="19" fillId="3" borderId="1" xfId="0" applyNumberFormat="1" applyFont="1" applyFill="1" applyBorder="1" applyAlignment="1">
      <alignment horizontal="center" wrapText="1"/>
    </xf>
    <xf numFmtId="0" fontId="13" fillId="3" borderId="9" xfId="0" applyFont="1" applyFill="1" applyBorder="1" applyAlignment="1">
      <alignment horizontal="center" vertical="center" wrapText="1"/>
    </xf>
    <xf numFmtId="4" fontId="23" fillId="3" borderId="1" xfId="0" applyNumberFormat="1" applyFont="1" applyFill="1" applyBorder="1" applyAlignment="1">
      <alignment horizontal="right" vertical="center"/>
    </xf>
    <xf numFmtId="4" fontId="23" fillId="3" borderId="1" xfId="0" applyNumberFormat="1" applyFont="1" applyFill="1" applyBorder="1" applyAlignment="1">
      <alignment vertical="center"/>
    </xf>
    <xf numFmtId="4" fontId="23" fillId="3" borderId="0" xfId="0" applyNumberFormat="1" applyFont="1" applyFill="1"/>
    <xf numFmtId="0" fontId="0" fillId="3" borderId="2" xfId="0" applyFill="1" applyBorder="1" applyAlignment="1">
      <alignment horizontal="left" vertical="top" wrapText="1"/>
    </xf>
    <xf numFmtId="1" fontId="0" fillId="3" borderId="8" xfId="0" applyNumberForma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/>
    </xf>
    <xf numFmtId="4" fontId="2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5" fillId="3" borderId="0" xfId="0" applyNumberFormat="1" applyFont="1" applyFill="1" applyAlignment="1">
      <alignment horizontal="justify" wrapText="1"/>
    </xf>
    <xf numFmtId="49" fontId="2" fillId="3" borderId="1" xfId="0" applyNumberFormat="1" applyFont="1" applyFill="1" applyBorder="1" applyAlignment="1">
      <alignment horizontal="justify" vertical="top" wrapText="1"/>
    </xf>
    <xf numFmtId="4" fontId="3" fillId="3" borderId="1" xfId="0" applyNumberFormat="1" applyFont="1" applyFill="1" applyBorder="1" applyAlignment="1">
      <alignment horizontal="justify" vertical="center" wrapText="1"/>
    </xf>
    <xf numFmtId="49" fontId="2" fillId="3" borderId="1" xfId="0" applyNumberFormat="1" applyFont="1" applyFill="1" applyBorder="1" applyAlignment="1" applyProtection="1">
      <alignment horizontal="justify" vertical="center" wrapText="1"/>
      <protection locked="0"/>
    </xf>
    <xf numFmtId="4" fontId="5" fillId="3" borderId="0" xfId="0" applyNumberFormat="1" applyFont="1" applyFill="1" applyAlignment="1">
      <alignment horizontal="justify" wrapText="1"/>
    </xf>
    <xf numFmtId="4" fontId="19" fillId="3" borderId="0" xfId="0" applyNumberFormat="1" applyFont="1" applyFill="1" applyAlignment="1">
      <alignment horizontal="center"/>
    </xf>
    <xf numFmtId="4" fontId="5" fillId="3" borderId="0" xfId="0" applyNumberFormat="1" applyFont="1" applyFill="1" applyAlignment="1">
      <alignment horizontal="center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3" fillId="3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4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8" fillId="3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top" wrapText="1"/>
    </xf>
    <xf numFmtId="4" fontId="3" fillId="3" borderId="1" xfId="0" applyNumberFormat="1" applyFont="1" applyFill="1" applyBorder="1" applyAlignment="1">
      <alignment horizontal="justify" vertical="center" wrapText="1"/>
    </xf>
    <xf numFmtId="0" fontId="8" fillId="3" borderId="1" xfId="0" applyFont="1" applyFill="1" applyBorder="1" applyAlignment="1">
      <alignment horizontal="justify" vertical="center" wrapText="1"/>
    </xf>
    <xf numFmtId="4" fontId="3" fillId="3" borderId="1" xfId="0" applyNumberFormat="1" applyFont="1" applyFill="1" applyBorder="1" applyAlignment="1">
      <alignment horizontal="center" vertical="top" wrapText="1"/>
    </xf>
    <xf numFmtId="1" fontId="3" fillId="3" borderId="1" xfId="0" applyNumberFormat="1" applyFont="1" applyFill="1" applyBorder="1" applyAlignment="1">
      <alignment horizontal="left" vertical="center" wrapText="1"/>
    </xf>
    <xf numFmtId="1" fontId="8" fillId="3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" fontId="2" fillId="3" borderId="9" xfId="0" applyNumberFormat="1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4" fontId="16" fillId="3" borderId="6" xfId="0" applyNumberFormat="1" applyFont="1" applyFill="1" applyBorder="1" applyAlignment="1">
      <alignment horizontal="center" wrapText="1"/>
    </xf>
    <xf numFmtId="4" fontId="16" fillId="3" borderId="5" xfId="0" applyNumberFormat="1" applyFont="1" applyFill="1" applyBorder="1" applyAlignment="1">
      <alignment horizontal="center" wrapText="1"/>
    </xf>
    <xf numFmtId="4" fontId="16" fillId="3" borderId="7" xfId="0" applyNumberFormat="1" applyFont="1" applyFill="1" applyBorder="1" applyAlignment="1">
      <alignment horizontal="center" wrapText="1"/>
    </xf>
    <xf numFmtId="4" fontId="3" fillId="3" borderId="6" xfId="0" applyNumberFormat="1" applyFont="1" applyFill="1" applyBorder="1" applyAlignment="1">
      <alignment horizontal="justify" wrapText="1"/>
    </xf>
    <xf numFmtId="0" fontId="5" fillId="3" borderId="5" xfId="0" applyFont="1" applyFill="1" applyBorder="1" applyAlignment="1">
      <alignment horizontal="justify" wrapText="1"/>
    </xf>
    <xf numFmtId="0" fontId="5" fillId="3" borderId="7" xfId="0" applyFont="1" applyFill="1" applyBorder="1" applyAlignment="1">
      <alignment horizontal="justify" wrapText="1"/>
    </xf>
    <xf numFmtId="4" fontId="3" fillId="3" borderId="6" xfId="0" applyNumberFormat="1" applyFont="1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" fontId="2" fillId="3" borderId="9" xfId="0" applyNumberFormat="1" applyFont="1" applyFill="1" applyBorder="1" applyAlignment="1" applyProtection="1">
      <alignment horizontal="center" vertical="top" wrapText="1"/>
      <protection locked="0"/>
    </xf>
    <xf numFmtId="0" fontId="0" fillId="3" borderId="10" xfId="0" applyFill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justify" wrapText="1"/>
    </xf>
    <xf numFmtId="4" fontId="6" fillId="3" borderId="1" xfId="0" applyNumberFormat="1" applyFont="1" applyFill="1" applyBorder="1" applyAlignment="1">
      <alignment horizontal="left" vertical="center" wrapText="1"/>
    </xf>
    <xf numFmtId="4" fontId="2" fillId="3" borderId="9" xfId="0" applyNumberFormat="1" applyFont="1" applyFill="1" applyBorder="1" applyAlignment="1">
      <alignment horizontal="center" vertical="top" wrapText="1"/>
    </xf>
    <xf numFmtId="4" fontId="3" fillId="3" borderId="1" xfId="0" applyNumberFormat="1" applyFont="1" applyFill="1" applyBorder="1" applyAlignment="1">
      <alignment horizontal="left" vertical="center" wrapText="1"/>
    </xf>
    <xf numFmtId="1" fontId="3" fillId="3" borderId="9" xfId="0" applyNumberFormat="1" applyFont="1" applyFill="1" applyBorder="1" applyAlignment="1">
      <alignment horizontal="left" vertical="center" wrapText="1"/>
    </xf>
    <xf numFmtId="1" fontId="0" fillId="3" borderId="10" xfId="0" applyNumberFormat="1" applyFill="1" applyBorder="1" applyAlignment="1">
      <alignment horizontal="left" vertical="center" wrapText="1"/>
    </xf>
    <xf numFmtId="4" fontId="3" fillId="3" borderId="14" xfId="0" applyNumberFormat="1" applyFont="1" applyFill="1" applyBorder="1" applyAlignment="1">
      <alignment horizontal="left" vertical="top" wrapText="1"/>
    </xf>
    <xf numFmtId="0" fontId="0" fillId="3" borderId="15" xfId="0" applyFill="1" applyBorder="1" applyAlignment="1">
      <alignment horizontal="left" vertical="top" wrapText="1"/>
    </xf>
    <xf numFmtId="49" fontId="2" fillId="3" borderId="10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4" fontId="2" fillId="3" borderId="10" xfId="0" applyNumberFormat="1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center" vertical="top" wrapText="1"/>
    </xf>
    <xf numFmtId="4" fontId="1" fillId="3" borderId="0" xfId="0" applyNumberFormat="1" applyFont="1" applyFill="1" applyAlignment="1">
      <alignment horizontal="center" wrapText="1"/>
    </xf>
    <xf numFmtId="0" fontId="5" fillId="3" borderId="0" xfId="0" applyFont="1" applyFill="1"/>
    <xf numFmtId="4" fontId="1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4" fontId="3" fillId="3" borderId="9" xfId="0" applyNumberFormat="1" applyFont="1" applyFill="1" applyBorder="1" applyAlignment="1">
      <alignment horizontal="center" vertical="top" wrapText="1"/>
    </xf>
    <xf numFmtId="4" fontId="3" fillId="3" borderId="10" xfId="0" applyNumberFormat="1" applyFont="1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left" wrapText="1"/>
    </xf>
    <xf numFmtId="49" fontId="1" fillId="0" borderId="9" xfId="0" applyNumberFormat="1" applyFont="1" applyBorder="1" applyAlignment="1">
      <alignment wrapText="1"/>
    </xf>
    <xf numFmtId="0" fontId="0" fillId="0" borderId="8" xfId="0" applyBorder="1"/>
    <xf numFmtId="0" fontId="0" fillId="0" borderId="8" xfId="0" applyBorder="1" applyAlignment="1">
      <alignment wrapText="1"/>
    </xf>
    <xf numFmtId="4" fontId="1" fillId="0" borderId="0" xfId="0" applyNumberFormat="1" applyFont="1" applyAlignment="1">
      <alignment horizontal="center"/>
    </xf>
    <xf numFmtId="4" fontId="6" fillId="0" borderId="6" xfId="0" applyNumberFormat="1" applyFont="1" applyBorder="1" applyAlignment="1">
      <alignment horizontal="justify" wrapText="1"/>
    </xf>
    <xf numFmtId="4" fontId="6" fillId="0" borderId="5" xfId="0" applyNumberFormat="1" applyFont="1" applyBorder="1" applyAlignment="1">
      <alignment horizontal="justify" wrapText="1"/>
    </xf>
    <xf numFmtId="4" fontId="6" fillId="0" borderId="7" xfId="0" applyNumberFormat="1" applyFont="1" applyBorder="1" applyAlignment="1">
      <alignment horizontal="justify" wrapText="1"/>
    </xf>
    <xf numFmtId="4" fontId="1" fillId="0" borderId="0" xfId="0" applyNumberFormat="1" applyFont="1" applyAlignment="1">
      <alignment horizontal="center" wrapText="1"/>
    </xf>
    <xf numFmtId="4" fontId="1" fillId="0" borderId="2" xfId="0" applyNumberFormat="1" applyFont="1" applyBorder="1" applyAlignment="1">
      <alignment horizontal="center"/>
    </xf>
    <xf numFmtId="4" fontId="2" fillId="3" borderId="6" xfId="0" applyNumberFormat="1" applyFont="1" applyFill="1" applyBorder="1" applyAlignment="1">
      <alignment horizontal="center" wrapText="1"/>
    </xf>
    <xf numFmtId="4" fontId="2" fillId="3" borderId="7" xfId="0" applyNumberFormat="1" applyFont="1" applyFill="1" applyBorder="1" applyAlignment="1">
      <alignment horizontal="center" wrapText="1"/>
    </xf>
    <xf numFmtId="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3" borderId="9" xfId="0" applyNumberFormat="1" applyFont="1" applyFill="1" applyBorder="1" applyAlignment="1">
      <alignment horizontal="center" wrapText="1"/>
    </xf>
    <xf numFmtId="4" fontId="2" fillId="3" borderId="8" xfId="0" applyNumberFormat="1" applyFont="1" applyFill="1" applyBorder="1" applyAlignment="1">
      <alignment horizont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" fontId="14" fillId="3" borderId="6" xfId="0" applyNumberFormat="1" applyFont="1" applyFill="1" applyBorder="1" applyAlignment="1">
      <alignment horizontal="center" wrapText="1"/>
    </xf>
    <xf numFmtId="4" fontId="14" fillId="3" borderId="7" xfId="0" applyNumberFormat="1" applyFont="1" applyFill="1" applyBorder="1" applyAlignment="1">
      <alignment horizontal="center" wrapText="1"/>
    </xf>
    <xf numFmtId="4" fontId="6" fillId="0" borderId="6" xfId="0" applyNumberFormat="1" applyFont="1" applyBorder="1" applyAlignment="1">
      <alignment horizontal="center" wrapText="1"/>
    </xf>
    <xf numFmtId="4" fontId="6" fillId="0" borderId="5" xfId="0" applyNumberFormat="1" applyFont="1" applyBorder="1" applyAlignment="1">
      <alignment horizontal="center" wrapText="1"/>
    </xf>
    <xf numFmtId="4" fontId="6" fillId="0" borderId="7" xfId="0" applyNumberFormat="1" applyFont="1" applyBorder="1" applyAlignment="1">
      <alignment horizontal="center" wrapText="1"/>
    </xf>
    <xf numFmtId="4" fontId="6" fillId="2" borderId="6" xfId="0" applyNumberFormat="1" applyFont="1" applyFill="1" applyBorder="1" applyAlignment="1">
      <alignment horizontal="left" vertical="center" wrapText="1"/>
    </xf>
    <xf numFmtId="4" fontId="6" fillId="2" borderId="5" xfId="0" applyNumberFormat="1" applyFont="1" applyFill="1" applyBorder="1" applyAlignment="1">
      <alignment horizontal="left" vertical="center" wrapText="1"/>
    </xf>
    <xf numFmtId="4" fontId="6" fillId="2" borderId="7" xfId="0" applyNumberFormat="1" applyFont="1" applyFill="1" applyBorder="1" applyAlignment="1">
      <alignment horizontal="left" vertical="center" wrapText="1"/>
    </xf>
    <xf numFmtId="4" fontId="4" fillId="2" borderId="6" xfId="0" applyNumberFormat="1" applyFont="1" applyFill="1" applyBorder="1" applyAlignment="1">
      <alignment horizontal="left" wrapText="1"/>
    </xf>
    <xf numFmtId="4" fontId="4" fillId="2" borderId="5" xfId="0" applyNumberFormat="1" applyFont="1" applyFill="1" applyBorder="1" applyAlignment="1">
      <alignment horizontal="left" wrapText="1"/>
    </xf>
    <xf numFmtId="4" fontId="4" fillId="2" borderId="7" xfId="0" applyNumberFormat="1" applyFont="1" applyFill="1" applyBorder="1" applyAlignment="1">
      <alignment horizontal="left" wrapText="1"/>
    </xf>
    <xf numFmtId="4" fontId="4" fillId="2" borderId="6" xfId="0" applyNumberFormat="1" applyFont="1" applyFill="1" applyBorder="1" applyAlignment="1">
      <alignment horizontal="left" vertical="center" wrapText="1"/>
    </xf>
    <xf numFmtId="4" fontId="4" fillId="2" borderId="5" xfId="0" applyNumberFormat="1" applyFont="1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left" vertical="center" wrapText="1"/>
    </xf>
    <xf numFmtId="4" fontId="6" fillId="3" borderId="5" xfId="0" applyNumberFormat="1" applyFont="1" applyFill="1" applyBorder="1" applyAlignment="1">
      <alignment horizontal="left" vertical="center" wrapText="1"/>
    </xf>
    <xf numFmtId="4" fontId="6" fillId="3" borderId="7" xfId="0" applyNumberFormat="1" applyFont="1" applyFill="1" applyBorder="1" applyAlignment="1">
      <alignment horizontal="left" vertical="center" wrapText="1"/>
    </xf>
    <xf numFmtId="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4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" fontId="4" fillId="2" borderId="7" xfId="0" applyNumberFormat="1" applyFont="1" applyFill="1" applyBorder="1" applyAlignment="1" applyProtection="1">
      <alignment horizontal="left" vertical="center" wrapText="1"/>
      <protection locked="0"/>
    </xf>
    <xf numFmtId="0" fontId="0" fillId="3" borderId="0" xfId="0" applyFill="1"/>
    <xf numFmtId="4" fontId="1" fillId="3" borderId="2" xfId="0" applyNumberFormat="1" applyFont="1" applyFill="1" applyBorder="1" applyAlignment="1">
      <alignment horizontal="center"/>
    </xf>
    <xf numFmtId="4" fontId="1" fillId="3" borderId="0" xfId="0" applyNumberFormat="1" applyFont="1" applyFill="1" applyAlignment="1">
      <alignment horizontal="center"/>
    </xf>
    <xf numFmtId="4" fontId="1" fillId="3" borderId="9" xfId="0" applyNumberFormat="1" applyFont="1" applyFill="1" applyBorder="1" applyAlignment="1">
      <alignment horizontal="center" vertical="center"/>
    </xf>
    <xf numFmtId="4" fontId="1" fillId="3" borderId="8" xfId="0" applyNumberFormat="1" applyFont="1" applyFill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15"/>
  <sheetViews>
    <sheetView tabSelected="1" zoomScale="80" zoomScaleNormal="80" workbookViewId="0">
      <selection activeCell="N6" sqref="N6"/>
    </sheetView>
  </sheetViews>
  <sheetFormatPr defaultColWidth="9.109375" defaultRowHeight="84" customHeight="1" x14ac:dyDescent="0.35"/>
  <cols>
    <col min="1" max="1" width="4.44140625" style="83" customWidth="1"/>
    <col min="2" max="2" width="27.44140625" style="184" customWidth="1"/>
    <col min="3" max="3" width="39.6640625" style="178" customWidth="1"/>
    <col min="4" max="4" width="17.6640625" style="103" customWidth="1"/>
    <col min="5" max="5" width="19.33203125" style="175" customWidth="1"/>
    <col min="6" max="6" width="23.6640625" style="175" customWidth="1"/>
    <col min="7" max="7" width="12.44140625" style="83" hidden="1" customWidth="1"/>
    <col min="8" max="8" width="11.5546875" style="83" hidden="1" customWidth="1"/>
    <col min="9" max="9" width="0" style="83" hidden="1" customWidth="1"/>
    <col min="10" max="10" width="9.6640625" style="83" hidden="1" customWidth="1"/>
    <col min="11" max="16384" width="9.109375" style="83"/>
  </cols>
  <sheetData>
    <row r="1" spans="1:6" ht="24" customHeight="1" x14ac:dyDescent="0.35">
      <c r="E1" s="177" t="s">
        <v>135</v>
      </c>
      <c r="F1" s="103"/>
    </row>
    <row r="2" spans="1:6" ht="18.75" customHeight="1" x14ac:dyDescent="0.35">
      <c r="E2" s="177" t="s">
        <v>1</v>
      </c>
      <c r="F2" s="103"/>
    </row>
    <row r="3" spans="1:6" ht="19.5" customHeight="1" x14ac:dyDescent="0.35">
      <c r="E3" s="177" t="s">
        <v>142</v>
      </c>
      <c r="F3" s="103"/>
    </row>
    <row r="4" spans="1:6" ht="20.25" customHeight="1" x14ac:dyDescent="0.35">
      <c r="E4" s="177" t="s">
        <v>3</v>
      </c>
      <c r="F4" s="103"/>
    </row>
    <row r="5" spans="1:6" ht="17.25" customHeight="1" x14ac:dyDescent="0.35">
      <c r="E5" s="106" t="s">
        <v>290</v>
      </c>
      <c r="F5" s="103"/>
    </row>
    <row r="6" spans="1:6" ht="84" customHeight="1" x14ac:dyDescent="0.25">
      <c r="A6" s="206" t="s">
        <v>267</v>
      </c>
      <c r="B6" s="206"/>
      <c r="C6" s="206"/>
      <c r="D6" s="206"/>
      <c r="E6" s="206"/>
      <c r="F6" s="207"/>
    </row>
    <row r="7" spans="1:6" ht="58.2" customHeight="1" x14ac:dyDescent="0.25">
      <c r="A7" s="210" t="s">
        <v>4</v>
      </c>
      <c r="B7" s="212" t="s">
        <v>5</v>
      </c>
      <c r="C7" s="194" t="s">
        <v>6</v>
      </c>
      <c r="D7" s="213" t="s">
        <v>136</v>
      </c>
      <c r="E7" s="212" t="s">
        <v>143</v>
      </c>
      <c r="F7" s="212" t="s">
        <v>144</v>
      </c>
    </row>
    <row r="8" spans="1:6" ht="21.75" hidden="1" customHeight="1" x14ac:dyDescent="0.25">
      <c r="A8" s="211"/>
      <c r="B8" s="209"/>
      <c r="C8" s="194"/>
      <c r="D8" s="214"/>
      <c r="E8" s="209"/>
      <c r="F8" s="215"/>
    </row>
    <row r="9" spans="1:6" ht="62.4" x14ac:dyDescent="0.25">
      <c r="A9" s="216">
        <v>1</v>
      </c>
      <c r="B9" s="199" t="s">
        <v>269</v>
      </c>
      <c r="C9" s="179" t="s">
        <v>268</v>
      </c>
      <c r="D9" s="172">
        <f>D10+D11+D12+D13+D14+D15+D16+D17+D18+D19+D20+D21+D22+D23+D24+D25+D26+D27+D28+D29+D30+D31+D32+D33+D34+D35+D36+D37+D38+D39+D40+D41+D42+D43+D44+D45+D46+D47+D48+D49+D50+D51+D52+D53+D54+D55+D56+D57+D58+D59+D60+D61+D62+D63+D64+D65+D66+D67+D68+D69+D70</f>
        <v>74194283.189999998</v>
      </c>
      <c r="E9" s="172">
        <f t="shared" ref="E9:F9" si="0">E10+E11+E12+E13+E14+E15+E16+E17+E18+E19+E20+E21+E22+E23+E24+E25+E26+E27+E28+E29+E30+E31+E32+E33+E34+E35+E36+E37+E38+E39+E40+E41+E42+E43+E44+E45+E46+E47+E48+E49+E50+E51+E52+E53+E54+E55+E56+E57+E58+E59+E60+E61+E62+E63+E64+E65+E66+E67+E68+E69+E70</f>
        <v>2980916.81</v>
      </c>
      <c r="F9" s="172">
        <f t="shared" si="0"/>
        <v>1430600</v>
      </c>
    </row>
    <row r="10" spans="1:6" ht="48" customHeight="1" x14ac:dyDescent="0.25">
      <c r="A10" s="216"/>
      <c r="B10" s="199"/>
      <c r="C10" s="179" t="s">
        <v>179</v>
      </c>
      <c r="D10" s="186">
        <v>443560.85</v>
      </c>
      <c r="E10" s="172"/>
      <c r="F10" s="176"/>
    </row>
    <row r="11" spans="1:6" ht="64.2" customHeight="1" x14ac:dyDescent="0.25">
      <c r="A11" s="216"/>
      <c r="B11" s="199"/>
      <c r="C11" s="179" t="s">
        <v>171</v>
      </c>
      <c r="D11" s="186">
        <v>86537.69</v>
      </c>
      <c r="E11" s="172"/>
      <c r="F11" s="176"/>
    </row>
    <row r="12" spans="1:6" ht="46.2" customHeight="1" x14ac:dyDescent="0.25">
      <c r="A12" s="216"/>
      <c r="B12" s="199"/>
      <c r="C12" s="179" t="s">
        <v>133</v>
      </c>
      <c r="D12" s="186">
        <v>1900516.36</v>
      </c>
      <c r="E12" s="172"/>
      <c r="F12" s="176"/>
    </row>
    <row r="13" spans="1:6" ht="46.8" customHeight="1" x14ac:dyDescent="0.25">
      <c r="A13" s="216"/>
      <c r="B13" s="199"/>
      <c r="C13" s="179" t="s">
        <v>172</v>
      </c>
      <c r="D13" s="186">
        <v>2043724.63</v>
      </c>
      <c r="E13" s="172"/>
      <c r="F13" s="176"/>
    </row>
    <row r="14" spans="1:6" ht="15.6" x14ac:dyDescent="0.25">
      <c r="A14" s="216"/>
      <c r="B14" s="199"/>
      <c r="C14" s="179" t="s">
        <v>134</v>
      </c>
      <c r="D14" s="186">
        <v>6232659.4299999997</v>
      </c>
      <c r="E14" s="172"/>
      <c r="F14" s="176"/>
    </row>
    <row r="15" spans="1:6" ht="36" customHeight="1" x14ac:dyDescent="0.25">
      <c r="A15" s="216"/>
      <c r="B15" s="199"/>
      <c r="C15" s="179" t="s">
        <v>145</v>
      </c>
      <c r="D15" s="186">
        <v>3614812.99</v>
      </c>
      <c r="E15" s="172"/>
      <c r="F15" s="176"/>
    </row>
    <row r="16" spans="1:6" ht="32.4" customHeight="1" x14ac:dyDescent="0.25">
      <c r="A16" s="216"/>
      <c r="B16" s="199"/>
      <c r="C16" s="179" t="s">
        <v>146</v>
      </c>
      <c r="D16" s="186">
        <v>1698654.72</v>
      </c>
      <c r="E16" s="172"/>
      <c r="F16" s="176"/>
    </row>
    <row r="17" spans="1:6" ht="15.6" x14ac:dyDescent="0.25">
      <c r="A17" s="216"/>
      <c r="B17" s="199"/>
      <c r="C17" s="179" t="s">
        <v>132</v>
      </c>
      <c r="D17" s="186">
        <v>1700437.97</v>
      </c>
      <c r="E17" s="172"/>
      <c r="F17" s="176"/>
    </row>
    <row r="18" spans="1:6" ht="31.2" x14ac:dyDescent="0.25">
      <c r="A18" s="216"/>
      <c r="B18" s="199"/>
      <c r="C18" s="179" t="s">
        <v>131</v>
      </c>
      <c r="D18" s="44">
        <v>952834.73</v>
      </c>
      <c r="E18" s="172"/>
      <c r="F18" s="176"/>
    </row>
    <row r="19" spans="1:6" ht="31.2" customHeight="1" x14ac:dyDescent="0.25">
      <c r="A19" s="216"/>
      <c r="B19" s="199"/>
      <c r="C19" s="179" t="s">
        <v>147</v>
      </c>
      <c r="D19" s="44">
        <v>69450.38</v>
      </c>
      <c r="E19" s="172"/>
      <c r="F19" s="176"/>
    </row>
    <row r="20" spans="1:6" ht="15.6" x14ac:dyDescent="0.25">
      <c r="A20" s="216"/>
      <c r="B20" s="199"/>
      <c r="C20" s="179" t="s">
        <v>130</v>
      </c>
      <c r="D20" s="44">
        <v>371446.36</v>
      </c>
      <c r="E20" s="172"/>
      <c r="F20" s="176"/>
    </row>
    <row r="21" spans="1:6" ht="31.2" x14ac:dyDescent="0.25">
      <c r="A21" s="216"/>
      <c r="B21" s="199"/>
      <c r="C21" s="179" t="s">
        <v>129</v>
      </c>
      <c r="D21" s="44">
        <v>2603181.16</v>
      </c>
      <c r="E21" s="172"/>
      <c r="F21" s="176"/>
    </row>
    <row r="22" spans="1:6" ht="32.25" customHeight="1" x14ac:dyDescent="0.25">
      <c r="A22" s="216"/>
      <c r="B22" s="199"/>
      <c r="C22" s="179" t="s">
        <v>128</v>
      </c>
      <c r="D22" s="44">
        <v>1657422.52</v>
      </c>
      <c r="E22" s="172"/>
      <c r="F22" s="176"/>
    </row>
    <row r="23" spans="1:6" ht="15.6" x14ac:dyDescent="0.25">
      <c r="A23" s="216"/>
      <c r="B23" s="199"/>
      <c r="C23" s="179" t="s">
        <v>148</v>
      </c>
      <c r="D23" s="44">
        <v>13322.04</v>
      </c>
      <c r="E23" s="172"/>
      <c r="F23" s="176"/>
    </row>
    <row r="24" spans="1:6" ht="17.25" customHeight="1" x14ac:dyDescent="0.25">
      <c r="A24" s="216"/>
      <c r="B24" s="199"/>
      <c r="C24" s="179" t="s">
        <v>137</v>
      </c>
      <c r="D24" s="44">
        <v>285509.56</v>
      </c>
      <c r="E24" s="172"/>
      <c r="F24" s="176"/>
    </row>
    <row r="25" spans="1:6" ht="31.2" x14ac:dyDescent="0.25">
      <c r="A25" s="216"/>
      <c r="B25" s="199"/>
      <c r="C25" s="179" t="s">
        <v>127</v>
      </c>
      <c r="D25" s="44">
        <v>38867.910000000003</v>
      </c>
      <c r="E25" s="172"/>
      <c r="F25" s="176"/>
    </row>
    <row r="26" spans="1:6" ht="15.6" x14ac:dyDescent="0.25">
      <c r="A26" s="216"/>
      <c r="B26" s="199"/>
      <c r="C26" s="179" t="s">
        <v>126</v>
      </c>
      <c r="D26" s="44">
        <v>92056.31</v>
      </c>
      <c r="E26" s="172"/>
      <c r="F26" s="176"/>
    </row>
    <row r="27" spans="1:6" ht="31.2" x14ac:dyDescent="0.25">
      <c r="A27" s="216"/>
      <c r="B27" s="199"/>
      <c r="C27" s="179" t="s">
        <v>125</v>
      </c>
      <c r="D27" s="44">
        <v>138328.20000000001</v>
      </c>
      <c r="E27" s="172"/>
      <c r="F27" s="176"/>
    </row>
    <row r="28" spans="1:6" ht="15.6" x14ac:dyDescent="0.25">
      <c r="A28" s="216"/>
      <c r="B28" s="199"/>
      <c r="C28" s="179" t="s">
        <v>124</v>
      </c>
      <c r="D28" s="44">
        <v>108699.84</v>
      </c>
      <c r="E28" s="172"/>
      <c r="F28" s="176"/>
    </row>
    <row r="29" spans="1:6" ht="15.6" x14ac:dyDescent="0.25">
      <c r="A29" s="216"/>
      <c r="B29" s="199"/>
      <c r="C29" s="179" t="s">
        <v>123</v>
      </c>
      <c r="D29" s="44">
        <v>2031048.24</v>
      </c>
      <c r="E29" s="172"/>
      <c r="F29" s="176"/>
    </row>
    <row r="30" spans="1:6" ht="46.2" customHeight="1" x14ac:dyDescent="0.25">
      <c r="A30" s="216"/>
      <c r="B30" s="199"/>
      <c r="C30" s="179" t="s">
        <v>122</v>
      </c>
      <c r="D30" s="44">
        <v>4502000</v>
      </c>
      <c r="E30" s="172"/>
      <c r="F30" s="176"/>
    </row>
    <row r="31" spans="1:6" ht="30" customHeight="1" x14ac:dyDescent="0.25">
      <c r="A31" s="216"/>
      <c r="B31" s="199"/>
      <c r="C31" s="179" t="s">
        <v>121</v>
      </c>
      <c r="D31" s="44">
        <v>486000</v>
      </c>
      <c r="E31" s="172"/>
      <c r="F31" s="176"/>
    </row>
    <row r="32" spans="1:6" ht="61.2" customHeight="1" x14ac:dyDescent="0.25">
      <c r="A32" s="216"/>
      <c r="B32" s="199"/>
      <c r="C32" s="179" t="s">
        <v>120</v>
      </c>
      <c r="D32" s="44">
        <v>1651010</v>
      </c>
      <c r="E32" s="172"/>
      <c r="F32" s="176"/>
    </row>
    <row r="33" spans="1:6" ht="49.5" customHeight="1" x14ac:dyDescent="0.25">
      <c r="A33" s="216"/>
      <c r="B33" s="199"/>
      <c r="C33" s="179" t="s">
        <v>287</v>
      </c>
      <c r="D33" s="44">
        <v>1313371.27</v>
      </c>
      <c r="E33" s="172"/>
      <c r="F33" s="176"/>
    </row>
    <row r="34" spans="1:6" ht="33.75" customHeight="1" x14ac:dyDescent="0.25">
      <c r="A34" s="216"/>
      <c r="B34" s="199"/>
      <c r="C34" s="179" t="s">
        <v>119</v>
      </c>
      <c r="D34" s="44">
        <v>2012284.72</v>
      </c>
      <c r="E34" s="172"/>
      <c r="F34" s="176"/>
    </row>
    <row r="35" spans="1:6" ht="35.25" customHeight="1" x14ac:dyDescent="0.25">
      <c r="A35" s="216"/>
      <c r="B35" s="199"/>
      <c r="C35" s="179" t="s">
        <v>118</v>
      </c>
      <c r="D35" s="44">
        <v>325756.19</v>
      </c>
      <c r="E35" s="172"/>
      <c r="F35" s="176"/>
    </row>
    <row r="36" spans="1:6" ht="33" customHeight="1" x14ac:dyDescent="0.25">
      <c r="A36" s="216"/>
      <c r="B36" s="199"/>
      <c r="C36" s="179" t="s">
        <v>117</v>
      </c>
      <c r="D36" s="44">
        <v>124071.71</v>
      </c>
      <c r="E36" s="172"/>
      <c r="F36" s="176"/>
    </row>
    <row r="37" spans="1:6" ht="18" customHeight="1" x14ac:dyDescent="0.25">
      <c r="A37" s="216"/>
      <c r="B37" s="199"/>
      <c r="C37" s="179" t="s">
        <v>112</v>
      </c>
      <c r="D37" s="44">
        <v>8921999.1300000008</v>
      </c>
      <c r="E37" s="172"/>
      <c r="F37" s="176"/>
    </row>
    <row r="38" spans="1:6" ht="34.799999999999997" customHeight="1" x14ac:dyDescent="0.3">
      <c r="A38" s="216"/>
      <c r="B38" s="199"/>
      <c r="C38" s="179" t="s">
        <v>139</v>
      </c>
      <c r="D38" s="187">
        <v>402639.7</v>
      </c>
      <c r="E38" s="44"/>
      <c r="F38" s="176"/>
    </row>
    <row r="39" spans="1:6" ht="31.2" x14ac:dyDescent="0.3">
      <c r="A39" s="216"/>
      <c r="B39" s="199"/>
      <c r="C39" s="179" t="s">
        <v>173</v>
      </c>
      <c r="D39" s="187"/>
      <c r="E39" s="44">
        <v>124476.76</v>
      </c>
      <c r="F39" s="176"/>
    </row>
    <row r="40" spans="1:6" ht="19.2" customHeight="1" x14ac:dyDescent="0.3">
      <c r="A40" s="216"/>
      <c r="B40" s="199"/>
      <c r="C40" s="179" t="s">
        <v>149</v>
      </c>
      <c r="D40" s="187"/>
      <c r="E40" s="44">
        <v>98000</v>
      </c>
      <c r="F40" s="176"/>
    </row>
    <row r="41" spans="1:6" ht="16.2" customHeight="1" x14ac:dyDescent="0.3">
      <c r="A41" s="216"/>
      <c r="B41" s="199"/>
      <c r="C41" s="179" t="s">
        <v>150</v>
      </c>
      <c r="D41" s="187"/>
      <c r="E41" s="44">
        <v>95550</v>
      </c>
      <c r="F41" s="176"/>
    </row>
    <row r="42" spans="1:6" ht="48" customHeight="1" x14ac:dyDescent="0.3">
      <c r="A42" s="216"/>
      <c r="B42" s="199"/>
      <c r="C42" s="179" t="s">
        <v>151</v>
      </c>
      <c r="D42" s="187"/>
      <c r="E42" s="44">
        <v>853800</v>
      </c>
      <c r="F42" s="176"/>
    </row>
    <row r="43" spans="1:6" ht="33.6" customHeight="1" x14ac:dyDescent="0.3">
      <c r="A43" s="216"/>
      <c r="B43" s="199"/>
      <c r="C43" s="179" t="s">
        <v>270</v>
      </c>
      <c r="D43" s="187"/>
      <c r="E43" s="172">
        <v>1809090.05</v>
      </c>
      <c r="F43" s="176"/>
    </row>
    <row r="44" spans="1:6" ht="31.8" customHeight="1" x14ac:dyDescent="0.3">
      <c r="A44" s="216"/>
      <c r="B44" s="199"/>
      <c r="C44" s="179" t="s">
        <v>152</v>
      </c>
      <c r="D44" s="187"/>
      <c r="E44" s="172"/>
      <c r="F44" s="172">
        <v>228676</v>
      </c>
    </row>
    <row r="45" spans="1:6" ht="46.8" customHeight="1" x14ac:dyDescent="0.3">
      <c r="A45" s="209"/>
      <c r="B45" s="208"/>
      <c r="C45" s="179" t="s">
        <v>153</v>
      </c>
      <c r="D45" s="187"/>
      <c r="E45" s="172"/>
      <c r="F45" s="172">
        <v>85906.14</v>
      </c>
    </row>
    <row r="46" spans="1:6" ht="60.6" customHeight="1" x14ac:dyDescent="0.3">
      <c r="A46" s="209"/>
      <c r="B46" s="208"/>
      <c r="C46" s="179" t="s">
        <v>247</v>
      </c>
      <c r="D46" s="187"/>
      <c r="E46" s="172"/>
      <c r="F46" s="172">
        <v>356077.55</v>
      </c>
    </row>
    <row r="47" spans="1:6" ht="19.8" customHeight="1" x14ac:dyDescent="0.3">
      <c r="A47" s="195"/>
      <c r="B47" s="193"/>
      <c r="C47" s="179" t="s">
        <v>154</v>
      </c>
      <c r="D47" s="187"/>
      <c r="E47" s="172"/>
      <c r="F47" s="172">
        <v>759940.31</v>
      </c>
    </row>
    <row r="48" spans="1:6" ht="18.75" customHeight="1" x14ac:dyDescent="0.3">
      <c r="A48" s="195"/>
      <c r="B48" s="193"/>
      <c r="C48" s="179" t="s">
        <v>155</v>
      </c>
      <c r="D48" s="187">
        <v>165000</v>
      </c>
      <c r="E48" s="172"/>
      <c r="F48" s="172"/>
    </row>
    <row r="49" spans="1:6" ht="33.75" customHeight="1" x14ac:dyDescent="0.3">
      <c r="A49" s="195"/>
      <c r="B49" s="193"/>
      <c r="C49" s="179" t="s">
        <v>156</v>
      </c>
      <c r="D49" s="187">
        <v>2108378.36</v>
      </c>
      <c r="E49" s="172"/>
      <c r="F49" s="172"/>
    </row>
    <row r="50" spans="1:6" ht="30.75" customHeight="1" x14ac:dyDescent="0.3">
      <c r="A50" s="195"/>
      <c r="B50" s="193"/>
      <c r="C50" s="179" t="s">
        <v>157</v>
      </c>
      <c r="D50" s="187">
        <v>1183027.3899999999</v>
      </c>
      <c r="E50" s="172"/>
      <c r="F50" s="172"/>
    </row>
    <row r="51" spans="1:6" ht="19.2" customHeight="1" x14ac:dyDescent="0.3">
      <c r="A51" s="195"/>
      <c r="B51" s="193"/>
      <c r="C51" s="179" t="s">
        <v>162</v>
      </c>
      <c r="D51" s="187">
        <v>2193619.2400000002</v>
      </c>
      <c r="E51" s="172"/>
      <c r="F51" s="172"/>
    </row>
    <row r="52" spans="1:6" ht="21" customHeight="1" x14ac:dyDescent="0.3">
      <c r="A52" s="195"/>
      <c r="B52" s="193"/>
      <c r="C52" s="179" t="s">
        <v>161</v>
      </c>
      <c r="D52" s="187">
        <v>1466336.38</v>
      </c>
      <c r="E52" s="172"/>
      <c r="F52" s="172"/>
    </row>
    <row r="53" spans="1:6" ht="20.399999999999999" customHeight="1" x14ac:dyDescent="0.3">
      <c r="A53" s="195"/>
      <c r="B53" s="193"/>
      <c r="C53" s="179" t="s">
        <v>160</v>
      </c>
      <c r="D53" s="187">
        <v>1192512.06</v>
      </c>
      <c r="E53" s="172"/>
      <c r="F53" s="172"/>
    </row>
    <row r="54" spans="1:6" ht="19.5" customHeight="1" x14ac:dyDescent="0.3">
      <c r="A54" s="195"/>
      <c r="B54" s="193"/>
      <c r="C54" s="179" t="s">
        <v>159</v>
      </c>
      <c r="D54" s="187">
        <v>154146.31</v>
      </c>
      <c r="E54" s="172"/>
      <c r="F54" s="172"/>
    </row>
    <row r="55" spans="1:6" ht="18" customHeight="1" x14ac:dyDescent="0.3">
      <c r="A55" s="195"/>
      <c r="B55" s="193"/>
      <c r="C55" s="179" t="s">
        <v>158</v>
      </c>
      <c r="D55" s="187">
        <v>46781.74</v>
      </c>
      <c r="E55" s="172"/>
      <c r="F55" s="172"/>
    </row>
    <row r="56" spans="1:6" ht="45.6" customHeight="1" x14ac:dyDescent="0.3">
      <c r="A56" s="189"/>
      <c r="B56" s="190"/>
      <c r="C56" s="179" t="s">
        <v>246</v>
      </c>
      <c r="D56" s="187">
        <v>1610031.43</v>
      </c>
      <c r="E56" s="172"/>
      <c r="F56" s="172"/>
    </row>
    <row r="57" spans="1:6" ht="31.2" x14ac:dyDescent="0.3">
      <c r="A57" s="189"/>
      <c r="B57" s="190"/>
      <c r="C57" s="179" t="s">
        <v>229</v>
      </c>
      <c r="D57" s="187">
        <v>9228087.0899999999</v>
      </c>
      <c r="E57" s="172"/>
      <c r="F57" s="172"/>
    </row>
    <row r="58" spans="1:6" ht="51" customHeight="1" x14ac:dyDescent="0.3">
      <c r="A58" s="189"/>
      <c r="B58" s="190"/>
      <c r="C58" s="179" t="s">
        <v>245</v>
      </c>
      <c r="D58" s="187">
        <v>2333481</v>
      </c>
      <c r="E58" s="172"/>
      <c r="F58" s="172"/>
    </row>
    <row r="59" spans="1:6" ht="97.2" customHeight="1" x14ac:dyDescent="0.3">
      <c r="A59" s="189"/>
      <c r="B59" s="190"/>
      <c r="C59" s="179" t="s">
        <v>244</v>
      </c>
      <c r="D59" s="187">
        <v>81464.460000000006</v>
      </c>
      <c r="E59" s="172"/>
      <c r="F59" s="172"/>
    </row>
    <row r="60" spans="1:6" ht="97.8" customHeight="1" x14ac:dyDescent="0.3">
      <c r="A60" s="189"/>
      <c r="B60" s="190"/>
      <c r="C60" s="179" t="s">
        <v>243</v>
      </c>
      <c r="D60" s="187">
        <v>97127.8</v>
      </c>
      <c r="E60" s="172"/>
      <c r="F60" s="172"/>
    </row>
    <row r="61" spans="1:6" ht="93.6" x14ac:dyDescent="0.3">
      <c r="A61" s="189"/>
      <c r="B61" s="190"/>
      <c r="C61" s="179" t="s">
        <v>233</v>
      </c>
      <c r="D61" s="187">
        <v>696000</v>
      </c>
      <c r="E61" s="172"/>
      <c r="F61" s="172"/>
    </row>
    <row r="62" spans="1:6" ht="79.8" customHeight="1" x14ac:dyDescent="0.3">
      <c r="A62" s="189"/>
      <c r="B62" s="190"/>
      <c r="C62" s="179" t="s">
        <v>234</v>
      </c>
      <c r="D62" s="187">
        <v>1992740</v>
      </c>
      <c r="E62" s="172"/>
      <c r="F62" s="172"/>
    </row>
    <row r="63" spans="1:6" ht="18" customHeight="1" x14ac:dyDescent="0.3">
      <c r="A63" s="189"/>
      <c r="B63" s="190"/>
      <c r="C63" s="179" t="s">
        <v>235</v>
      </c>
      <c r="D63" s="187">
        <v>1018178.08</v>
      </c>
      <c r="E63" s="172"/>
      <c r="F63" s="172"/>
    </row>
    <row r="64" spans="1:6" ht="62.4" x14ac:dyDescent="0.3">
      <c r="A64" s="189"/>
      <c r="B64" s="190"/>
      <c r="C64" s="179" t="s">
        <v>236</v>
      </c>
      <c r="D64" s="187">
        <v>303997.46000000002</v>
      </c>
      <c r="E64" s="172"/>
      <c r="F64" s="172"/>
    </row>
    <row r="65" spans="1:6" ht="19.2" customHeight="1" x14ac:dyDescent="0.3">
      <c r="A65" s="189"/>
      <c r="B65" s="190"/>
      <c r="C65" s="179" t="s">
        <v>237</v>
      </c>
      <c r="D65" s="187">
        <v>75000</v>
      </c>
      <c r="E65" s="172"/>
      <c r="F65" s="172"/>
    </row>
    <row r="66" spans="1:6" ht="31.2" x14ac:dyDescent="0.3">
      <c r="A66" s="189"/>
      <c r="B66" s="190"/>
      <c r="C66" s="179" t="s">
        <v>238</v>
      </c>
      <c r="D66" s="187">
        <v>378000</v>
      </c>
      <c r="E66" s="172"/>
      <c r="F66" s="172"/>
    </row>
    <row r="67" spans="1:6" ht="93.6" x14ac:dyDescent="0.3">
      <c r="A67" s="189"/>
      <c r="B67" s="190"/>
      <c r="C67" s="179" t="s">
        <v>242</v>
      </c>
      <c r="D67" s="187">
        <v>907589.77</v>
      </c>
      <c r="E67" s="172"/>
      <c r="F67" s="172"/>
    </row>
    <row r="68" spans="1:6" ht="65.400000000000006" customHeight="1" x14ac:dyDescent="0.3">
      <c r="A68" s="189"/>
      <c r="B68" s="190"/>
      <c r="C68" s="179" t="s">
        <v>271</v>
      </c>
      <c r="D68" s="187">
        <v>137374.59</v>
      </c>
      <c r="E68" s="172"/>
      <c r="F68" s="172"/>
    </row>
    <row r="69" spans="1:6" ht="62.4" x14ac:dyDescent="0.3">
      <c r="A69" s="189"/>
      <c r="B69" s="190"/>
      <c r="C69" s="179" t="s">
        <v>240</v>
      </c>
      <c r="D69" s="187">
        <v>473000</v>
      </c>
      <c r="E69" s="172"/>
      <c r="F69" s="172"/>
    </row>
    <row r="70" spans="1:6" ht="31.2" x14ac:dyDescent="0.3">
      <c r="A70" s="189"/>
      <c r="B70" s="190"/>
      <c r="C70" s="179" t="s">
        <v>241</v>
      </c>
      <c r="D70" s="187">
        <v>530205.42000000004</v>
      </c>
      <c r="E70" s="172"/>
      <c r="F70" s="172"/>
    </row>
    <row r="71" spans="1:6" ht="55.8" customHeight="1" x14ac:dyDescent="0.25">
      <c r="A71" s="197" t="s">
        <v>164</v>
      </c>
      <c r="B71" s="197"/>
      <c r="C71" s="197"/>
      <c r="D71" s="44">
        <f>D9</f>
        <v>74194283.189999998</v>
      </c>
      <c r="E71" s="44">
        <f>E9</f>
        <v>2980916.81</v>
      </c>
      <c r="F71" s="44">
        <f>F70+F9</f>
        <v>1430600</v>
      </c>
    </row>
    <row r="72" spans="1:6" ht="51.6" customHeight="1" x14ac:dyDescent="0.3">
      <c r="A72" s="174" t="s">
        <v>111</v>
      </c>
      <c r="B72" s="212" t="s">
        <v>273</v>
      </c>
      <c r="C72" s="87" t="s">
        <v>272</v>
      </c>
      <c r="D72" s="44">
        <v>500000</v>
      </c>
      <c r="E72" s="172"/>
      <c r="F72" s="188"/>
    </row>
    <row r="73" spans="1:6" ht="132" customHeight="1" x14ac:dyDescent="0.3">
      <c r="A73" s="174"/>
      <c r="B73" s="215"/>
      <c r="C73" s="87" t="s">
        <v>248</v>
      </c>
      <c r="D73" s="44">
        <v>13090500</v>
      </c>
      <c r="E73" s="172"/>
      <c r="F73" s="188"/>
    </row>
    <row r="74" spans="1:6" ht="48.6" customHeight="1" x14ac:dyDescent="0.3">
      <c r="A74" s="174"/>
      <c r="B74" s="215"/>
      <c r="C74" s="87" t="s">
        <v>181</v>
      </c>
      <c r="D74" s="44">
        <v>992000</v>
      </c>
      <c r="E74" s="172"/>
      <c r="F74" s="188"/>
    </row>
    <row r="75" spans="1:6" ht="38.4" customHeight="1" x14ac:dyDescent="0.25">
      <c r="A75" s="203" t="s">
        <v>165</v>
      </c>
      <c r="B75" s="203"/>
      <c r="C75" s="203"/>
      <c r="D75" s="44">
        <f>SUM(D72:D74)</f>
        <v>14582500</v>
      </c>
      <c r="E75" s="172">
        <f>SUM(E72:E72)</f>
        <v>0</v>
      </c>
      <c r="F75" s="172">
        <f>SUM(F72:F72)</f>
        <v>0</v>
      </c>
    </row>
    <row r="76" spans="1:6" ht="72.599999999999994" customHeight="1" x14ac:dyDescent="0.3">
      <c r="A76" s="194" t="s">
        <v>53</v>
      </c>
      <c r="B76" s="196" t="s">
        <v>175</v>
      </c>
      <c r="C76" s="87" t="s">
        <v>288</v>
      </c>
      <c r="D76" s="44">
        <v>313702</v>
      </c>
      <c r="E76" s="172"/>
      <c r="F76" s="188"/>
    </row>
    <row r="77" spans="1:6" ht="79.8" customHeight="1" x14ac:dyDescent="0.3">
      <c r="A77" s="194"/>
      <c r="B77" s="196"/>
      <c r="C77" s="87" t="s">
        <v>275</v>
      </c>
      <c r="D77" s="44">
        <v>24216</v>
      </c>
      <c r="E77" s="172"/>
      <c r="F77" s="188"/>
    </row>
    <row r="78" spans="1:6" ht="116.4" customHeight="1" x14ac:dyDescent="0.3">
      <c r="A78" s="194"/>
      <c r="B78" s="196"/>
      <c r="C78" s="87" t="s">
        <v>289</v>
      </c>
      <c r="D78" s="44"/>
      <c r="E78" s="172">
        <f>548506.8+61461.72</f>
        <v>609968.52</v>
      </c>
      <c r="F78" s="188"/>
    </row>
    <row r="79" spans="1:6" ht="49.8" customHeight="1" x14ac:dyDescent="0.3">
      <c r="A79" s="209"/>
      <c r="B79" s="208"/>
      <c r="C79" s="87" t="s">
        <v>274</v>
      </c>
      <c r="D79" s="44">
        <v>99925</v>
      </c>
      <c r="E79" s="172"/>
      <c r="F79" s="188"/>
    </row>
    <row r="80" spans="1:6" ht="55.2" customHeight="1" x14ac:dyDescent="0.3">
      <c r="A80" s="173"/>
      <c r="B80" s="173"/>
      <c r="C80" s="87" t="s">
        <v>276</v>
      </c>
      <c r="D80" s="188"/>
      <c r="E80" s="44"/>
      <c r="F80" s="176">
        <v>146768.6</v>
      </c>
    </row>
    <row r="81" spans="1:7" ht="93.6" x14ac:dyDescent="0.3">
      <c r="A81" s="173"/>
      <c r="B81" s="173"/>
      <c r="C81" s="87" t="s">
        <v>277</v>
      </c>
      <c r="D81" s="188"/>
      <c r="E81" s="44"/>
      <c r="F81" s="176">
        <f>458383.4+29848</f>
        <v>488231.4</v>
      </c>
    </row>
    <row r="82" spans="1:7" ht="38.25" customHeight="1" x14ac:dyDescent="0.25">
      <c r="A82" s="197" t="s">
        <v>278</v>
      </c>
      <c r="B82" s="197"/>
      <c r="C82" s="197"/>
      <c r="D82" s="44">
        <f>D76+D79+D80+D81+D78+D77</f>
        <v>437843</v>
      </c>
      <c r="E82" s="44">
        <f>E76+E79+E80+E81+E78+E77</f>
        <v>609968.52</v>
      </c>
      <c r="F82" s="44">
        <f>F76+F79+F80+F81+F78+F77</f>
        <v>635000</v>
      </c>
    </row>
    <row r="83" spans="1:7" ht="166.8" customHeight="1" x14ac:dyDescent="0.25">
      <c r="A83" s="194" t="s">
        <v>58</v>
      </c>
      <c r="B83" s="196" t="s">
        <v>55</v>
      </c>
      <c r="C83" s="87" t="s">
        <v>279</v>
      </c>
      <c r="D83" s="44"/>
      <c r="E83" s="172"/>
      <c r="F83" s="176">
        <v>529800</v>
      </c>
    </row>
    <row r="84" spans="1:7" ht="109.2" x14ac:dyDescent="0.25">
      <c r="A84" s="195"/>
      <c r="B84" s="193"/>
      <c r="C84" s="87" t="s">
        <v>280</v>
      </c>
      <c r="D84" s="44"/>
      <c r="E84" s="172"/>
      <c r="F84" s="176">
        <v>420000</v>
      </c>
    </row>
    <row r="85" spans="1:7" ht="64.2" customHeight="1" x14ac:dyDescent="0.25">
      <c r="A85" s="195"/>
      <c r="B85" s="193"/>
      <c r="C85" s="87" t="s">
        <v>281</v>
      </c>
      <c r="D85" s="44">
        <v>10200</v>
      </c>
      <c r="E85" s="172"/>
      <c r="F85" s="176"/>
    </row>
    <row r="86" spans="1:7" ht="54" customHeight="1" x14ac:dyDescent="0.25">
      <c r="A86" s="195"/>
      <c r="B86" s="193"/>
      <c r="C86" s="87" t="s">
        <v>141</v>
      </c>
      <c r="D86" s="44"/>
      <c r="E86" s="172">
        <v>10000</v>
      </c>
      <c r="F86" s="176"/>
    </row>
    <row r="87" spans="1:7" ht="100.8" customHeight="1" x14ac:dyDescent="0.25">
      <c r="A87" s="195"/>
      <c r="B87" s="193"/>
      <c r="C87" s="87" t="s">
        <v>282</v>
      </c>
      <c r="D87" s="44">
        <f>645351.57+665600-10000</f>
        <v>1300951.5699999998</v>
      </c>
      <c r="E87" s="172"/>
      <c r="F87" s="176"/>
    </row>
    <row r="88" spans="1:7" ht="41.4" customHeight="1" x14ac:dyDescent="0.25">
      <c r="A88" s="197" t="s">
        <v>167</v>
      </c>
      <c r="B88" s="197"/>
      <c r="C88" s="197"/>
      <c r="D88" s="44">
        <f>D87+D86+D85+D84+D83</f>
        <v>1311151.5699999998</v>
      </c>
      <c r="E88" s="44">
        <f t="shared" ref="E88:F88" si="1">E87+E86+E85+E84+E83</f>
        <v>10000</v>
      </c>
      <c r="F88" s="44">
        <f t="shared" si="1"/>
        <v>949800</v>
      </c>
    </row>
    <row r="89" spans="1:7" ht="109.2" x14ac:dyDescent="0.3">
      <c r="A89" s="200">
        <v>5</v>
      </c>
      <c r="B89" s="199" t="s">
        <v>163</v>
      </c>
      <c r="C89" s="180" t="s">
        <v>283</v>
      </c>
      <c r="D89" s="44"/>
      <c r="E89" s="44">
        <f>498200+2233</f>
        <v>500433</v>
      </c>
      <c r="F89" s="188"/>
    </row>
    <row r="90" spans="1:7" ht="51.6" customHeight="1" x14ac:dyDescent="0.25">
      <c r="A90" s="201"/>
      <c r="B90" s="192"/>
      <c r="C90" s="180" t="s">
        <v>249</v>
      </c>
      <c r="D90" s="44"/>
      <c r="E90" s="44"/>
      <c r="F90" s="44">
        <v>161000</v>
      </c>
    </row>
    <row r="91" spans="1:7" ht="98.4" customHeight="1" x14ac:dyDescent="0.25">
      <c r="A91" s="201"/>
      <c r="B91" s="192"/>
      <c r="C91" s="180" t="s">
        <v>226</v>
      </c>
      <c r="D91" s="44"/>
      <c r="E91" s="44">
        <v>53160.21</v>
      </c>
      <c r="F91" s="44"/>
    </row>
    <row r="92" spans="1:7" ht="145.19999999999999" customHeight="1" x14ac:dyDescent="0.25">
      <c r="A92" s="201"/>
      <c r="B92" s="192"/>
      <c r="C92" s="180" t="s">
        <v>250</v>
      </c>
      <c r="D92" s="44">
        <v>83557</v>
      </c>
      <c r="E92" s="44"/>
      <c r="F92" s="44"/>
    </row>
    <row r="93" spans="1:7" ht="99" customHeight="1" x14ac:dyDescent="0.25">
      <c r="A93" s="202"/>
      <c r="B93" s="193"/>
      <c r="C93" s="180" t="s">
        <v>264</v>
      </c>
      <c r="D93" s="44">
        <f>717363.54+42891.78+30</f>
        <v>760285.32000000007</v>
      </c>
      <c r="E93" s="44"/>
      <c r="F93" s="44"/>
    </row>
    <row r="94" spans="1:7" ht="25.8" customHeight="1" x14ac:dyDescent="0.25">
      <c r="A94" s="202"/>
      <c r="B94" s="193"/>
      <c r="C94" s="180" t="s">
        <v>203</v>
      </c>
      <c r="D94" s="44">
        <v>84700</v>
      </c>
      <c r="E94" s="44"/>
      <c r="F94" s="44"/>
    </row>
    <row r="95" spans="1:7" ht="66" customHeight="1" x14ac:dyDescent="0.25">
      <c r="A95" s="202"/>
      <c r="B95" s="193"/>
      <c r="C95" s="180" t="s">
        <v>219</v>
      </c>
      <c r="D95" s="44">
        <f>215760.46-42891.78-30</f>
        <v>172838.68</v>
      </c>
      <c r="E95" s="44"/>
      <c r="F95" s="44"/>
    </row>
    <row r="96" spans="1:7" ht="82.8" customHeight="1" x14ac:dyDescent="0.25">
      <c r="A96" s="202"/>
      <c r="B96" s="193"/>
      <c r="C96" s="180" t="s">
        <v>263</v>
      </c>
      <c r="D96" s="44">
        <v>15442</v>
      </c>
      <c r="E96" s="44"/>
      <c r="F96" s="44"/>
      <c r="G96" s="83">
        <f>D96+D95+D94+D93+D92</f>
        <v>1116823</v>
      </c>
    </row>
    <row r="97" spans="1:6" ht="80.400000000000006" customHeight="1" x14ac:dyDescent="0.25">
      <c r="A97" s="202"/>
      <c r="B97" s="193"/>
      <c r="C97" s="180" t="s">
        <v>225</v>
      </c>
      <c r="D97" s="44"/>
      <c r="E97" s="44">
        <v>46300</v>
      </c>
      <c r="F97" s="44"/>
    </row>
    <row r="98" spans="1:6" ht="39.6" customHeight="1" x14ac:dyDescent="0.25">
      <c r="A98" s="197" t="s">
        <v>170</v>
      </c>
      <c r="B98" s="198"/>
      <c r="C98" s="198"/>
      <c r="D98" s="44">
        <f>D89+D90+D92+D93+D94+D91+D97+D96+D95</f>
        <v>1116823</v>
      </c>
      <c r="E98" s="44">
        <f>E89+E90+E92+E93+E94+E91+E97+E96+E95</f>
        <v>599893.21</v>
      </c>
      <c r="F98" s="44">
        <f t="shared" ref="F98" si="2">F89+F90+F92+F93+F94+F91+F97+F96+F95</f>
        <v>161000</v>
      </c>
    </row>
    <row r="99" spans="1:6" ht="93.6" x14ac:dyDescent="0.25">
      <c r="A99" s="194" t="s">
        <v>140</v>
      </c>
      <c r="B99" s="191" t="s">
        <v>33</v>
      </c>
      <c r="C99" s="87" t="s">
        <v>262</v>
      </c>
      <c r="D99" s="41">
        <f>1057836.91+169800+824600+195021.18+3374+140744.85+4471+373617.65</f>
        <v>2769465.59</v>
      </c>
      <c r="E99" s="172"/>
      <c r="F99" s="176"/>
    </row>
    <row r="100" spans="1:6" ht="67.2" customHeight="1" x14ac:dyDescent="0.25">
      <c r="A100" s="195"/>
      <c r="B100" s="192"/>
      <c r="C100" s="87" t="s">
        <v>178</v>
      </c>
      <c r="D100" s="41">
        <f>79900+1000000</f>
        <v>1079900</v>
      </c>
      <c r="E100" s="172"/>
      <c r="F100" s="176"/>
    </row>
    <row r="101" spans="1:6" ht="204" customHeight="1" x14ac:dyDescent="0.25">
      <c r="A101" s="195"/>
      <c r="B101" s="193"/>
      <c r="C101" s="87" t="s">
        <v>284</v>
      </c>
      <c r="D101" s="41"/>
      <c r="E101" s="172"/>
      <c r="F101" s="176">
        <f>518300+2077+1530-3607</f>
        <v>518300</v>
      </c>
    </row>
    <row r="102" spans="1:6" ht="141.6" customHeight="1" x14ac:dyDescent="0.25">
      <c r="A102" s="195"/>
      <c r="B102" s="193"/>
      <c r="C102" s="87" t="s">
        <v>251</v>
      </c>
      <c r="D102" s="41"/>
      <c r="E102" s="172">
        <v>90000</v>
      </c>
      <c r="F102" s="176"/>
    </row>
    <row r="103" spans="1:6" ht="83.4" customHeight="1" x14ac:dyDescent="0.25">
      <c r="A103" s="189"/>
      <c r="B103" s="190"/>
      <c r="C103" s="87" t="s">
        <v>222</v>
      </c>
      <c r="D103" s="41">
        <v>3661</v>
      </c>
      <c r="E103" s="172"/>
      <c r="F103" s="176"/>
    </row>
    <row r="104" spans="1:6" ht="83.4" customHeight="1" x14ac:dyDescent="0.25">
      <c r="A104" s="189"/>
      <c r="B104" s="190"/>
      <c r="C104" s="87" t="s">
        <v>224</v>
      </c>
      <c r="D104" s="41">
        <v>13942</v>
      </c>
      <c r="E104" s="172"/>
      <c r="F104" s="176"/>
    </row>
    <row r="105" spans="1:6" ht="88.2" customHeight="1" x14ac:dyDescent="0.25">
      <c r="A105" s="189"/>
      <c r="B105" s="190"/>
      <c r="C105" s="87" t="s">
        <v>258</v>
      </c>
      <c r="D105" s="41">
        <v>7859</v>
      </c>
      <c r="E105" s="172"/>
      <c r="F105" s="176"/>
    </row>
    <row r="106" spans="1:6" ht="105.6" customHeight="1" x14ac:dyDescent="0.25">
      <c r="A106" s="189"/>
      <c r="B106" s="190"/>
      <c r="C106" s="87" t="s">
        <v>285</v>
      </c>
      <c r="D106" s="41">
        <f>472915.94+1970+87144.17+1556+3607</f>
        <v>567193.11</v>
      </c>
      <c r="E106" s="172"/>
      <c r="F106" s="176"/>
    </row>
    <row r="107" spans="1:6" ht="41.4" customHeight="1" x14ac:dyDescent="0.25">
      <c r="A107" s="203" t="s">
        <v>168</v>
      </c>
      <c r="B107" s="203"/>
      <c r="C107" s="203"/>
      <c r="D107" s="44">
        <f>D99+D102+D101+D100+D106+D105+D104+D103</f>
        <v>4442020.7</v>
      </c>
      <c r="E107" s="44">
        <f t="shared" ref="E107:F107" si="3">E99+E102+E101+E100+E106+E105+E104+E103</f>
        <v>90000</v>
      </c>
      <c r="F107" s="44">
        <f t="shared" si="3"/>
        <v>518300</v>
      </c>
    </row>
    <row r="108" spans="1:6" s="78" customFormat="1" ht="58.2" customHeight="1" x14ac:dyDescent="0.3">
      <c r="A108" s="96">
        <v>7</v>
      </c>
      <c r="B108" s="185" t="s">
        <v>110</v>
      </c>
      <c r="C108" s="181" t="s">
        <v>286</v>
      </c>
      <c r="D108" s="44">
        <f>1088500+482900</f>
        <v>1571400</v>
      </c>
      <c r="E108" s="46"/>
      <c r="F108" s="77"/>
    </row>
    <row r="109" spans="1:6" ht="22.2" customHeight="1" x14ac:dyDescent="0.25">
      <c r="A109" s="197" t="s">
        <v>83</v>
      </c>
      <c r="B109" s="197"/>
      <c r="C109" s="197"/>
      <c r="D109" s="44">
        <f>D107+D75+D71+D88+D82+D108+D98</f>
        <v>97656021.459999993</v>
      </c>
      <c r="E109" s="44">
        <f>E107+E75+E71+E88+E82+E108+E98</f>
        <v>4290778.54</v>
      </c>
      <c r="F109" s="44">
        <f t="shared" ref="F109" si="4">F107+F75+F71+F88+F82+F108+F98</f>
        <v>3694700</v>
      </c>
    </row>
    <row r="110" spans="1:6" ht="24" customHeight="1" x14ac:dyDescent="0.25">
      <c r="A110" s="197" t="s">
        <v>109</v>
      </c>
      <c r="B110" s="204"/>
      <c r="C110" s="204"/>
      <c r="D110" s="205">
        <f>D109+E109</f>
        <v>101946800</v>
      </c>
      <c r="E110" s="205"/>
      <c r="F110" s="172"/>
    </row>
    <row r="111" spans="1:6" ht="22.8" customHeight="1" x14ac:dyDescent="0.25">
      <c r="A111" s="197" t="s">
        <v>169</v>
      </c>
      <c r="B111" s="204"/>
      <c r="C111" s="204"/>
      <c r="D111" s="44"/>
      <c r="E111" s="173"/>
      <c r="F111" s="172">
        <f>F109</f>
        <v>3694700</v>
      </c>
    </row>
    <row r="112" spans="1:6" ht="46.5" hidden="1" customHeight="1" x14ac:dyDescent="0.35">
      <c r="C112" s="182"/>
      <c r="D112" s="103" t="s">
        <v>223</v>
      </c>
      <c r="E112" s="183">
        <f>100375400</f>
        <v>100375400</v>
      </c>
      <c r="F112" s="183">
        <v>3694700</v>
      </c>
    </row>
    <row r="113" spans="5:6" ht="48.75" hidden="1" customHeight="1" x14ac:dyDescent="0.35">
      <c r="E113" s="175">
        <f>D110-D108</f>
        <v>100375400</v>
      </c>
      <c r="F113" s="175">
        <f>F112-F111</f>
        <v>0</v>
      </c>
    </row>
    <row r="114" spans="5:6" ht="84" hidden="1" customHeight="1" x14ac:dyDescent="0.35">
      <c r="E114" s="175">
        <f>E112-E113</f>
        <v>0</v>
      </c>
    </row>
    <row r="115" spans="5:6" ht="84" hidden="1" customHeight="1" x14ac:dyDescent="0.35"/>
  </sheetData>
  <mergeCells count="28">
    <mergeCell ref="A6:F6"/>
    <mergeCell ref="A71:C71"/>
    <mergeCell ref="A75:C75"/>
    <mergeCell ref="B76:B79"/>
    <mergeCell ref="A76:A79"/>
    <mergeCell ref="A7:A8"/>
    <mergeCell ref="B7:B8"/>
    <mergeCell ref="C7:C8"/>
    <mergeCell ref="E7:E8"/>
    <mergeCell ref="D7:D8"/>
    <mergeCell ref="F7:F8"/>
    <mergeCell ref="A9:A55"/>
    <mergeCell ref="B9:B55"/>
    <mergeCell ref="B72:B74"/>
    <mergeCell ref="A107:C107"/>
    <mergeCell ref="A109:C109"/>
    <mergeCell ref="A110:C110"/>
    <mergeCell ref="D110:E110"/>
    <mergeCell ref="A111:C111"/>
    <mergeCell ref="B99:B102"/>
    <mergeCell ref="A83:A87"/>
    <mergeCell ref="B83:B87"/>
    <mergeCell ref="A82:C82"/>
    <mergeCell ref="A88:C88"/>
    <mergeCell ref="A98:C98"/>
    <mergeCell ref="A99:A102"/>
    <mergeCell ref="B89:B97"/>
    <mergeCell ref="A89:A97"/>
  </mergeCells>
  <phoneticPr fontId="15" type="noConversion"/>
  <pageMargins left="0.31496062992125984" right="0.31496062992125984" top="0.35433070866141736" bottom="0.35433070866141736" header="0.31496062992125984" footer="0.31496062992125984"/>
  <pageSetup paperSize="9" scale="73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17"/>
  <sheetViews>
    <sheetView topLeftCell="A97" workbookViewId="0">
      <selection activeCell="C99" sqref="C99"/>
    </sheetView>
  </sheetViews>
  <sheetFormatPr defaultColWidth="9.109375" defaultRowHeight="84" customHeight="1" x14ac:dyDescent="0.35"/>
  <cols>
    <col min="1" max="1" width="5.6640625" style="83" customWidth="1"/>
    <col min="2" max="2" width="22" style="83" customWidth="1"/>
    <col min="3" max="3" width="32.109375" style="84" customWidth="1"/>
    <col min="4" max="4" width="18" style="79" bestFit="1" customWidth="1"/>
    <col min="5" max="5" width="19" style="79" bestFit="1" customWidth="1"/>
    <col min="6" max="6" width="18" style="128" bestFit="1" customWidth="1"/>
    <col min="7" max="7" width="23.109375" style="55" customWidth="1"/>
    <col min="8" max="8" width="14.5546875" style="55" customWidth="1"/>
    <col min="9" max="9" width="16.33203125" style="147" customWidth="1"/>
    <col min="10" max="10" width="16.5546875" style="55" customWidth="1"/>
    <col min="11" max="11" width="23.6640625" style="55" customWidth="1"/>
    <col min="12" max="12" width="23.6640625" style="147" customWidth="1"/>
    <col min="13" max="16384" width="9.109375" style="83"/>
  </cols>
  <sheetData>
    <row r="1" spans="1:12" ht="58.5" customHeight="1" x14ac:dyDescent="0.35">
      <c r="G1" s="103" t="s">
        <v>135</v>
      </c>
      <c r="H1" s="103"/>
      <c r="I1" s="140"/>
      <c r="J1" s="103"/>
      <c r="K1" s="103"/>
      <c r="L1" s="140"/>
    </row>
    <row r="2" spans="1:12" ht="84" customHeight="1" x14ac:dyDescent="0.35">
      <c r="A2" s="248" t="s">
        <v>211</v>
      </c>
      <c r="B2" s="248"/>
      <c r="C2" s="248"/>
      <c r="D2" s="248"/>
      <c r="E2" s="248"/>
      <c r="F2" s="248"/>
      <c r="G2" s="248"/>
      <c r="H2" s="248"/>
      <c r="I2" s="248"/>
      <c r="J2" s="249"/>
      <c r="K2" s="124"/>
      <c r="L2" s="141"/>
    </row>
    <row r="3" spans="1:12" ht="78" customHeight="1" x14ac:dyDescent="0.25">
      <c r="A3" s="250" t="s">
        <v>4</v>
      </c>
      <c r="B3" s="212" t="s">
        <v>5</v>
      </c>
      <c r="C3" s="194" t="s">
        <v>6</v>
      </c>
      <c r="D3" s="252" t="s">
        <v>136</v>
      </c>
      <c r="E3" s="166" t="s">
        <v>227</v>
      </c>
      <c r="F3" s="129" t="s">
        <v>204</v>
      </c>
      <c r="G3" s="254" t="s">
        <v>143</v>
      </c>
      <c r="H3" s="150" t="s">
        <v>202</v>
      </c>
      <c r="I3" s="151" t="s">
        <v>207</v>
      </c>
      <c r="J3" s="217" t="s">
        <v>144</v>
      </c>
      <c r="K3" s="121" t="s">
        <v>208</v>
      </c>
      <c r="L3" s="142" t="s">
        <v>209</v>
      </c>
    </row>
    <row r="4" spans="1:12" ht="21.75" hidden="1" customHeight="1" x14ac:dyDescent="0.25">
      <c r="A4" s="251"/>
      <c r="B4" s="209"/>
      <c r="C4" s="194"/>
      <c r="D4" s="253"/>
      <c r="E4" s="104"/>
      <c r="F4" s="130"/>
      <c r="G4" s="255"/>
      <c r="H4" s="152"/>
      <c r="I4" s="153"/>
      <c r="J4" s="256"/>
      <c r="K4" s="125"/>
      <c r="L4" s="143"/>
    </row>
    <row r="5" spans="1:12" ht="93.6" x14ac:dyDescent="0.25">
      <c r="A5" s="257">
        <v>1</v>
      </c>
      <c r="B5" s="259" t="s">
        <v>7</v>
      </c>
      <c r="C5" s="98" t="s">
        <v>260</v>
      </c>
      <c r="D5" s="73">
        <v>73644730.799999997</v>
      </c>
      <c r="E5" s="73"/>
      <c r="F5" s="131"/>
      <c r="G5" s="154">
        <v>2949969.2</v>
      </c>
      <c r="H5" s="154"/>
      <c r="I5" s="155"/>
      <c r="J5" s="73">
        <f>J72</f>
        <v>1430600</v>
      </c>
      <c r="K5" s="73"/>
      <c r="L5" s="131"/>
    </row>
    <row r="6" spans="1:12" ht="46.8" x14ac:dyDescent="0.25">
      <c r="A6" s="258"/>
      <c r="B6" s="260"/>
      <c r="C6" s="99" t="s">
        <v>179</v>
      </c>
      <c r="D6" s="80">
        <f>F6</f>
        <v>443560.85</v>
      </c>
      <c r="E6" s="80"/>
      <c r="F6" s="132">
        <v>443560.85</v>
      </c>
      <c r="G6" s="154"/>
      <c r="H6" s="154"/>
      <c r="I6" s="155"/>
      <c r="J6" s="43"/>
      <c r="K6" s="43"/>
      <c r="L6" s="77"/>
    </row>
    <row r="7" spans="1:12" ht="93.6" x14ac:dyDescent="0.25">
      <c r="A7" s="258"/>
      <c r="B7" s="260"/>
      <c r="C7" s="98" t="s">
        <v>171</v>
      </c>
      <c r="D7" s="80">
        <v>86537.69</v>
      </c>
      <c r="E7" s="80"/>
      <c r="F7" s="132">
        <f t="shared" ref="F7" si="0">D7-E7</f>
        <v>86537.69</v>
      </c>
      <c r="G7" s="154"/>
      <c r="H7" s="154"/>
      <c r="I7" s="155"/>
      <c r="J7" s="43"/>
      <c r="K7" s="43"/>
      <c r="L7" s="77"/>
    </row>
    <row r="8" spans="1:12" ht="72" customHeight="1" x14ac:dyDescent="0.25">
      <c r="A8" s="258"/>
      <c r="B8" s="260"/>
      <c r="C8" s="98" t="s">
        <v>133</v>
      </c>
      <c r="D8" s="80">
        <v>2335331.9</v>
      </c>
      <c r="E8" s="80">
        <f>F8-D8</f>
        <v>-434815.5399999998</v>
      </c>
      <c r="F8" s="132">
        <v>1900516.36</v>
      </c>
      <c r="G8" s="154"/>
      <c r="H8" s="154"/>
      <c r="I8" s="155"/>
      <c r="J8" s="43"/>
      <c r="K8" s="43"/>
      <c r="L8" s="77"/>
    </row>
    <row r="9" spans="1:12" ht="64.5" customHeight="1" x14ac:dyDescent="0.25">
      <c r="A9" s="258"/>
      <c r="B9" s="260"/>
      <c r="C9" s="98" t="s">
        <v>172</v>
      </c>
      <c r="D9" s="80">
        <v>2043724.63</v>
      </c>
      <c r="E9" s="80">
        <f t="shared" ref="E9:E39" si="1">F9-D9</f>
        <v>0</v>
      </c>
      <c r="F9" s="132">
        <v>2043724.63</v>
      </c>
      <c r="G9" s="154"/>
      <c r="H9" s="154"/>
      <c r="I9" s="155"/>
      <c r="J9" s="43"/>
      <c r="K9" s="43"/>
      <c r="L9" s="77"/>
    </row>
    <row r="10" spans="1:12" ht="18" x14ac:dyDescent="0.25">
      <c r="A10" s="258"/>
      <c r="B10" s="260"/>
      <c r="C10" s="98" t="s">
        <v>134</v>
      </c>
      <c r="D10" s="80">
        <v>7800000</v>
      </c>
      <c r="E10" s="80">
        <f t="shared" si="1"/>
        <v>-1567340.5700000003</v>
      </c>
      <c r="F10" s="132">
        <v>6232659.4299999997</v>
      </c>
      <c r="G10" s="154"/>
      <c r="H10" s="154"/>
      <c r="I10" s="155"/>
      <c r="J10" s="43"/>
      <c r="K10" s="43"/>
      <c r="L10" s="77"/>
    </row>
    <row r="11" spans="1:12" ht="46.8" x14ac:dyDescent="0.25">
      <c r="A11" s="258"/>
      <c r="B11" s="260"/>
      <c r="C11" s="98" t="s">
        <v>145</v>
      </c>
      <c r="D11" s="80">
        <v>5691845</v>
      </c>
      <c r="E11" s="80">
        <f t="shared" si="1"/>
        <v>-2077032.0099999998</v>
      </c>
      <c r="F11" s="132">
        <v>3614812.99</v>
      </c>
      <c r="G11" s="154"/>
      <c r="H11" s="154"/>
      <c r="I11" s="155"/>
      <c r="J11" s="43"/>
      <c r="K11" s="43"/>
      <c r="L11" s="77"/>
    </row>
    <row r="12" spans="1:12" ht="46.8" x14ac:dyDescent="0.25">
      <c r="A12" s="258"/>
      <c r="B12" s="260"/>
      <c r="C12" s="100" t="s">
        <v>146</v>
      </c>
      <c r="D12" s="80">
        <v>4309429.3899999997</v>
      </c>
      <c r="E12" s="80">
        <f t="shared" si="1"/>
        <v>-2610774.67</v>
      </c>
      <c r="F12" s="132">
        <v>1698654.72</v>
      </c>
      <c r="G12" s="154"/>
      <c r="H12" s="154"/>
      <c r="I12" s="155"/>
      <c r="J12" s="43"/>
      <c r="K12" s="43"/>
      <c r="L12" s="77"/>
    </row>
    <row r="13" spans="1:12" ht="18" x14ac:dyDescent="0.25">
      <c r="A13" s="258"/>
      <c r="B13" s="260"/>
      <c r="C13" s="100" t="s">
        <v>132</v>
      </c>
      <c r="D13" s="80">
        <v>1958206.62</v>
      </c>
      <c r="E13" s="80">
        <f t="shared" si="1"/>
        <v>-257768.65000000014</v>
      </c>
      <c r="F13" s="132">
        <v>1700437.97</v>
      </c>
      <c r="G13" s="154"/>
      <c r="H13" s="154"/>
      <c r="I13" s="155"/>
      <c r="J13" s="43"/>
      <c r="K13" s="43"/>
      <c r="L13" s="77"/>
    </row>
    <row r="14" spans="1:12" ht="31.2" x14ac:dyDescent="0.25">
      <c r="A14" s="258"/>
      <c r="B14" s="260"/>
      <c r="C14" s="100" t="s">
        <v>131</v>
      </c>
      <c r="D14" s="81">
        <v>952834.73</v>
      </c>
      <c r="E14" s="81">
        <f t="shared" si="1"/>
        <v>0</v>
      </c>
      <c r="F14" s="133">
        <v>952834.73</v>
      </c>
      <c r="G14" s="154"/>
      <c r="H14" s="154"/>
      <c r="I14" s="155"/>
      <c r="J14" s="43"/>
      <c r="K14" s="43"/>
      <c r="L14" s="77"/>
    </row>
    <row r="15" spans="1:12" ht="46.8" x14ac:dyDescent="0.25">
      <c r="A15" s="258"/>
      <c r="B15" s="260"/>
      <c r="C15" s="100" t="s">
        <v>147</v>
      </c>
      <c r="D15" s="81">
        <v>69450.38</v>
      </c>
      <c r="E15" s="81">
        <f t="shared" si="1"/>
        <v>0</v>
      </c>
      <c r="F15" s="133">
        <v>69450.38</v>
      </c>
      <c r="G15" s="154"/>
      <c r="H15" s="154"/>
      <c r="I15" s="155"/>
      <c r="J15" s="43"/>
      <c r="K15" s="43"/>
      <c r="L15" s="77"/>
    </row>
    <row r="16" spans="1:12" ht="18" x14ac:dyDescent="0.25">
      <c r="A16" s="258"/>
      <c r="B16" s="260"/>
      <c r="C16" s="100" t="s">
        <v>130</v>
      </c>
      <c r="D16" s="81">
        <v>397714.89</v>
      </c>
      <c r="E16" s="81">
        <f t="shared" si="1"/>
        <v>-26268.530000000028</v>
      </c>
      <c r="F16" s="133">
        <v>371446.36</v>
      </c>
      <c r="G16" s="154"/>
      <c r="H16" s="154"/>
      <c r="I16" s="155"/>
      <c r="J16" s="43"/>
      <c r="K16" s="43"/>
      <c r="L16" s="77"/>
    </row>
    <row r="17" spans="1:12" ht="31.2" x14ac:dyDescent="0.25">
      <c r="A17" s="258"/>
      <c r="B17" s="260"/>
      <c r="C17" s="100" t="s">
        <v>129</v>
      </c>
      <c r="D17" s="81">
        <v>2603181.16</v>
      </c>
      <c r="E17" s="81">
        <f t="shared" si="1"/>
        <v>0</v>
      </c>
      <c r="F17" s="133">
        <v>2603181.16</v>
      </c>
      <c r="G17" s="154"/>
      <c r="H17" s="154"/>
      <c r="I17" s="155"/>
      <c r="J17" s="43"/>
      <c r="K17" s="43"/>
      <c r="L17" s="77"/>
    </row>
    <row r="18" spans="1:12" ht="32.25" customHeight="1" x14ac:dyDescent="0.25">
      <c r="A18" s="258"/>
      <c r="B18" s="260"/>
      <c r="C18" s="100" t="s">
        <v>128</v>
      </c>
      <c r="D18" s="81">
        <v>1758823.98</v>
      </c>
      <c r="E18" s="81">
        <f t="shared" si="1"/>
        <v>-101401.45999999996</v>
      </c>
      <c r="F18" s="133">
        <v>1657422.52</v>
      </c>
      <c r="G18" s="154"/>
      <c r="H18" s="154"/>
      <c r="I18" s="155"/>
      <c r="J18" s="43"/>
      <c r="K18" s="43"/>
      <c r="L18" s="77"/>
    </row>
    <row r="19" spans="1:12" ht="93.6" x14ac:dyDescent="0.25">
      <c r="A19" s="258"/>
      <c r="B19" s="260"/>
      <c r="C19" s="100" t="s">
        <v>180</v>
      </c>
      <c r="D19" s="81">
        <v>1200779.42</v>
      </c>
      <c r="E19" s="81">
        <f t="shared" si="1"/>
        <v>-1200779.42</v>
      </c>
      <c r="F19" s="133">
        <v>0</v>
      </c>
      <c r="G19" s="154"/>
      <c r="H19" s="154"/>
      <c r="I19" s="155"/>
      <c r="J19" s="43"/>
      <c r="K19" s="43"/>
      <c r="L19" s="77"/>
    </row>
    <row r="20" spans="1:12" ht="18" x14ac:dyDescent="0.25">
      <c r="A20" s="258"/>
      <c r="B20" s="260"/>
      <c r="C20" s="100" t="s">
        <v>148</v>
      </c>
      <c r="D20" s="81">
        <v>13322.04</v>
      </c>
      <c r="E20" s="81">
        <f t="shared" si="1"/>
        <v>0</v>
      </c>
      <c r="F20" s="133">
        <v>13322.04</v>
      </c>
      <c r="G20" s="154"/>
      <c r="H20" s="154"/>
      <c r="I20" s="155"/>
      <c r="J20" s="43"/>
      <c r="K20" s="43"/>
      <c r="L20" s="77"/>
    </row>
    <row r="21" spans="1:12" ht="17.25" customHeight="1" x14ac:dyDescent="0.25">
      <c r="A21" s="258"/>
      <c r="B21" s="260"/>
      <c r="C21" s="100" t="s">
        <v>137</v>
      </c>
      <c r="D21" s="97">
        <v>285509.56</v>
      </c>
      <c r="E21" s="97">
        <f t="shared" si="1"/>
        <v>0</v>
      </c>
      <c r="F21" s="134">
        <v>285509.56</v>
      </c>
      <c r="G21" s="154"/>
      <c r="H21" s="154"/>
      <c r="I21" s="155"/>
      <c r="J21" s="43"/>
      <c r="K21" s="43"/>
      <c r="L21" s="77"/>
    </row>
    <row r="22" spans="1:12" ht="31.2" x14ac:dyDescent="0.25">
      <c r="A22" s="258"/>
      <c r="B22" s="260"/>
      <c r="C22" s="100" t="s">
        <v>127</v>
      </c>
      <c r="D22" s="81">
        <v>38867.910000000003</v>
      </c>
      <c r="E22" s="97">
        <f t="shared" si="1"/>
        <v>0</v>
      </c>
      <c r="F22" s="133">
        <v>38867.910000000003</v>
      </c>
      <c r="G22" s="154"/>
      <c r="H22" s="154"/>
      <c r="I22" s="155"/>
      <c r="J22" s="43"/>
      <c r="K22" s="43"/>
      <c r="L22" s="77"/>
    </row>
    <row r="23" spans="1:12" ht="18" x14ac:dyDescent="0.25">
      <c r="A23" s="258"/>
      <c r="B23" s="260"/>
      <c r="C23" s="100" t="s">
        <v>126</v>
      </c>
      <c r="D23" s="81">
        <v>92056.31</v>
      </c>
      <c r="E23" s="97">
        <f t="shared" si="1"/>
        <v>0</v>
      </c>
      <c r="F23" s="133">
        <v>92056.31</v>
      </c>
      <c r="G23" s="154"/>
      <c r="H23" s="154"/>
      <c r="I23" s="155"/>
      <c r="J23" s="43"/>
      <c r="K23" s="43"/>
      <c r="L23" s="77"/>
    </row>
    <row r="24" spans="1:12" ht="31.2" x14ac:dyDescent="0.25">
      <c r="A24" s="258"/>
      <c r="B24" s="260"/>
      <c r="C24" s="100" t="s">
        <v>125</v>
      </c>
      <c r="D24" s="81">
        <v>138328.20000000001</v>
      </c>
      <c r="E24" s="97">
        <f t="shared" si="1"/>
        <v>0</v>
      </c>
      <c r="F24" s="133">
        <v>138328.20000000001</v>
      </c>
      <c r="G24" s="154"/>
      <c r="H24" s="154"/>
      <c r="I24" s="155"/>
      <c r="J24" s="43"/>
      <c r="K24" s="43"/>
      <c r="L24" s="77"/>
    </row>
    <row r="25" spans="1:12" ht="18" x14ac:dyDescent="0.25">
      <c r="A25" s="258"/>
      <c r="B25" s="260"/>
      <c r="C25" s="100" t="s">
        <v>124</v>
      </c>
      <c r="D25" s="81">
        <v>108699.84</v>
      </c>
      <c r="E25" s="97">
        <f t="shared" si="1"/>
        <v>0</v>
      </c>
      <c r="F25" s="133">
        <v>108699.84</v>
      </c>
      <c r="G25" s="154"/>
      <c r="H25" s="154"/>
      <c r="I25" s="155"/>
      <c r="J25" s="43"/>
      <c r="K25" s="43"/>
      <c r="L25" s="77"/>
    </row>
    <row r="26" spans="1:12" ht="18" x14ac:dyDescent="0.25">
      <c r="A26" s="258"/>
      <c r="B26" s="260"/>
      <c r="C26" s="100" t="s">
        <v>123</v>
      </c>
      <c r="D26" s="81">
        <v>2031049</v>
      </c>
      <c r="E26" s="97">
        <f t="shared" si="1"/>
        <v>-0.76000000000931323</v>
      </c>
      <c r="F26" s="133">
        <v>2031048.24</v>
      </c>
      <c r="G26" s="154"/>
      <c r="H26" s="154"/>
      <c r="I26" s="155"/>
      <c r="J26" s="43"/>
      <c r="K26" s="43"/>
      <c r="L26" s="77"/>
    </row>
    <row r="27" spans="1:12" ht="62.4" x14ac:dyDescent="0.25">
      <c r="A27" s="258"/>
      <c r="B27" s="260"/>
      <c r="C27" s="100" t="s">
        <v>122</v>
      </c>
      <c r="D27" s="81">
        <v>4502000</v>
      </c>
      <c r="E27" s="81">
        <f t="shared" si="1"/>
        <v>0</v>
      </c>
      <c r="F27" s="133">
        <v>4502000</v>
      </c>
      <c r="G27" s="154"/>
      <c r="H27" s="154"/>
      <c r="I27" s="155"/>
      <c r="J27" s="43"/>
      <c r="K27" s="43"/>
      <c r="L27" s="77"/>
    </row>
    <row r="28" spans="1:12" ht="30" customHeight="1" x14ac:dyDescent="0.25">
      <c r="A28" s="258"/>
      <c r="B28" s="260"/>
      <c r="C28" s="100" t="s">
        <v>121</v>
      </c>
      <c r="D28" s="81">
        <v>486000</v>
      </c>
      <c r="E28" s="81">
        <f t="shared" si="1"/>
        <v>0</v>
      </c>
      <c r="F28" s="133">
        <v>486000</v>
      </c>
      <c r="G28" s="154"/>
      <c r="H28" s="154"/>
      <c r="I28" s="155"/>
      <c r="J28" s="43"/>
      <c r="K28" s="43"/>
      <c r="L28" s="77"/>
    </row>
    <row r="29" spans="1:12" ht="79.5" customHeight="1" x14ac:dyDescent="0.25">
      <c r="A29" s="258"/>
      <c r="B29" s="260"/>
      <c r="C29" s="100" t="s">
        <v>120</v>
      </c>
      <c r="D29" s="81">
        <v>1651010</v>
      </c>
      <c r="E29" s="81">
        <f t="shared" si="1"/>
        <v>0</v>
      </c>
      <c r="F29" s="133">
        <v>1651010</v>
      </c>
      <c r="G29" s="154"/>
      <c r="H29" s="154"/>
      <c r="I29" s="155"/>
      <c r="J29" s="43"/>
      <c r="K29" s="43"/>
      <c r="L29" s="77"/>
    </row>
    <row r="30" spans="1:12" ht="70.5" customHeight="1" x14ac:dyDescent="0.25">
      <c r="A30" s="258"/>
      <c r="B30" s="260"/>
      <c r="C30" s="100" t="s">
        <v>138</v>
      </c>
      <c r="D30" s="81">
        <v>1313371.27</v>
      </c>
      <c r="E30" s="81">
        <f t="shared" si="1"/>
        <v>0</v>
      </c>
      <c r="F30" s="133">
        <v>1313371.27</v>
      </c>
      <c r="G30" s="154"/>
      <c r="H30" s="154"/>
      <c r="I30" s="155"/>
      <c r="J30" s="43"/>
      <c r="K30" s="43"/>
      <c r="L30" s="77"/>
    </row>
    <row r="31" spans="1:12" ht="33.75" customHeight="1" x14ac:dyDescent="0.25">
      <c r="A31" s="258"/>
      <c r="B31" s="260"/>
      <c r="C31" s="100" t="s">
        <v>119</v>
      </c>
      <c r="D31" s="81">
        <v>2012280</v>
      </c>
      <c r="E31" s="81">
        <f t="shared" si="1"/>
        <v>4.7199999999720603</v>
      </c>
      <c r="F31" s="133">
        <v>2012284.72</v>
      </c>
      <c r="G31" s="154"/>
      <c r="H31" s="154"/>
      <c r="I31" s="155"/>
      <c r="J31" s="43"/>
      <c r="K31" s="43"/>
      <c r="L31" s="77"/>
    </row>
    <row r="32" spans="1:12" ht="35.25" customHeight="1" x14ac:dyDescent="0.25">
      <c r="A32" s="258"/>
      <c r="B32" s="260"/>
      <c r="C32" s="100" t="s">
        <v>118</v>
      </c>
      <c r="D32" s="81">
        <v>325760</v>
      </c>
      <c r="E32" s="81">
        <f t="shared" si="1"/>
        <v>-3.8099999999976717</v>
      </c>
      <c r="F32" s="133">
        <v>325756.19</v>
      </c>
      <c r="G32" s="154"/>
      <c r="H32" s="154"/>
      <c r="I32" s="155"/>
      <c r="J32" s="43"/>
      <c r="K32" s="43"/>
      <c r="L32" s="77"/>
    </row>
    <row r="33" spans="1:12" ht="33" customHeight="1" x14ac:dyDescent="0.25">
      <c r="A33" s="258"/>
      <c r="B33" s="260"/>
      <c r="C33" s="100" t="s">
        <v>117</v>
      </c>
      <c r="D33" s="81">
        <v>124070</v>
      </c>
      <c r="E33" s="81">
        <f t="shared" si="1"/>
        <v>1.7100000000064028</v>
      </c>
      <c r="F33" s="133">
        <v>124071.71</v>
      </c>
      <c r="G33" s="154"/>
      <c r="H33" s="154"/>
      <c r="I33" s="155"/>
      <c r="J33" s="43"/>
      <c r="K33" s="43"/>
      <c r="L33" s="77"/>
    </row>
    <row r="34" spans="1:12" ht="35.25" customHeight="1" x14ac:dyDescent="0.25">
      <c r="A34" s="258"/>
      <c r="B34" s="260"/>
      <c r="C34" s="98" t="s">
        <v>116</v>
      </c>
      <c r="D34" s="81">
        <v>269920</v>
      </c>
      <c r="E34" s="81">
        <v>-269920</v>
      </c>
      <c r="F34" s="133">
        <f>D34+E34</f>
        <v>0</v>
      </c>
      <c r="G34" s="154"/>
      <c r="H34" s="154"/>
      <c r="I34" s="155"/>
      <c r="J34" s="43"/>
      <c r="K34" s="43"/>
      <c r="L34" s="77"/>
    </row>
    <row r="35" spans="1:12" ht="32.25" customHeight="1" x14ac:dyDescent="0.25">
      <c r="A35" s="258"/>
      <c r="B35" s="260"/>
      <c r="C35" s="98" t="s">
        <v>115</v>
      </c>
      <c r="D35" s="81">
        <v>253315</v>
      </c>
      <c r="E35" s="81">
        <v>-253315</v>
      </c>
      <c r="F35" s="133">
        <f>D35+E35</f>
        <v>0</v>
      </c>
      <c r="G35" s="154"/>
      <c r="H35" s="154"/>
      <c r="I35" s="155"/>
      <c r="J35" s="43"/>
      <c r="K35" s="43"/>
      <c r="L35" s="77"/>
    </row>
    <row r="36" spans="1:12" ht="45.75" customHeight="1" x14ac:dyDescent="0.25">
      <c r="A36" s="258"/>
      <c r="B36" s="260"/>
      <c r="C36" s="101" t="s">
        <v>114</v>
      </c>
      <c r="D36" s="81">
        <v>314615</v>
      </c>
      <c r="E36" s="81">
        <v>-314615</v>
      </c>
      <c r="F36" s="133">
        <f>D36+E36</f>
        <v>0</v>
      </c>
      <c r="G36" s="154"/>
      <c r="H36" s="154"/>
      <c r="I36" s="155"/>
      <c r="J36" s="43"/>
      <c r="K36" s="43"/>
      <c r="L36" s="77"/>
    </row>
    <row r="37" spans="1:12" ht="31.2" x14ac:dyDescent="0.25">
      <c r="A37" s="258"/>
      <c r="B37" s="260"/>
      <c r="C37" s="98" t="s">
        <v>113</v>
      </c>
      <c r="D37" s="81">
        <v>311237</v>
      </c>
      <c r="E37" s="81">
        <v>-311237</v>
      </c>
      <c r="F37" s="133">
        <f>D37+E37</f>
        <v>0</v>
      </c>
      <c r="G37" s="154"/>
      <c r="H37" s="154"/>
      <c r="I37" s="155"/>
      <c r="J37" s="43"/>
      <c r="K37" s="43"/>
      <c r="L37" s="77"/>
    </row>
    <row r="38" spans="1:12" ht="31.2" x14ac:dyDescent="0.25">
      <c r="A38" s="258"/>
      <c r="B38" s="260"/>
      <c r="C38" s="98" t="s">
        <v>112</v>
      </c>
      <c r="D38" s="81">
        <v>18809453.329999998</v>
      </c>
      <c r="E38" s="81">
        <f>F38-D38</f>
        <v>-9887454.1999999974</v>
      </c>
      <c r="F38" s="133">
        <v>8921999.1300000008</v>
      </c>
      <c r="G38" s="154"/>
      <c r="H38" s="154"/>
      <c r="I38" s="155"/>
      <c r="J38" s="43"/>
      <c r="K38" s="43"/>
      <c r="L38" s="77"/>
    </row>
    <row r="39" spans="1:12" ht="46.8" x14ac:dyDescent="0.35">
      <c r="A39" s="258"/>
      <c r="B39" s="260"/>
      <c r="C39" s="98" t="s">
        <v>139</v>
      </c>
      <c r="D39" s="86">
        <v>402639.7</v>
      </c>
      <c r="E39" s="81">
        <f t="shared" si="1"/>
        <v>0</v>
      </c>
      <c r="F39" s="135">
        <v>402639.7</v>
      </c>
      <c r="G39" s="156"/>
      <c r="H39" s="156"/>
      <c r="I39" s="157"/>
      <c r="J39" s="43"/>
      <c r="K39" s="43"/>
      <c r="L39" s="77"/>
    </row>
    <row r="40" spans="1:12" ht="31.2" x14ac:dyDescent="0.35">
      <c r="A40" s="258"/>
      <c r="B40" s="260"/>
      <c r="C40" s="98" t="s">
        <v>173</v>
      </c>
      <c r="D40" s="86"/>
      <c r="E40" s="81"/>
      <c r="F40" s="135"/>
      <c r="G40" s="156">
        <v>124476.76</v>
      </c>
      <c r="H40" s="156">
        <f>G40-I40</f>
        <v>0</v>
      </c>
      <c r="I40" s="157">
        <v>124476.76</v>
      </c>
      <c r="J40" s="43"/>
      <c r="K40" s="43"/>
      <c r="L40" s="77"/>
    </row>
    <row r="41" spans="1:12" ht="31.2" x14ac:dyDescent="0.35">
      <c r="A41" s="258"/>
      <c r="B41" s="260"/>
      <c r="C41" s="98" t="s">
        <v>149</v>
      </c>
      <c r="D41" s="86"/>
      <c r="E41" s="81"/>
      <c r="F41" s="135"/>
      <c r="G41" s="156">
        <v>98000</v>
      </c>
      <c r="H41" s="156">
        <f t="shared" ref="H41:H44" si="2">G41-I41</f>
        <v>0</v>
      </c>
      <c r="I41" s="157">
        <v>98000</v>
      </c>
      <c r="J41" s="43"/>
      <c r="K41" s="43"/>
      <c r="L41" s="77"/>
    </row>
    <row r="42" spans="1:12" ht="21.75" customHeight="1" x14ac:dyDescent="0.35">
      <c r="A42" s="258"/>
      <c r="B42" s="260"/>
      <c r="C42" s="98" t="s">
        <v>150</v>
      </c>
      <c r="D42" s="86"/>
      <c r="E42" s="86"/>
      <c r="F42" s="135"/>
      <c r="G42" s="156">
        <v>95550</v>
      </c>
      <c r="H42" s="156">
        <f t="shared" si="2"/>
        <v>0</v>
      </c>
      <c r="I42" s="157">
        <v>95550</v>
      </c>
      <c r="J42" s="43"/>
      <c r="K42" s="43"/>
      <c r="L42" s="77"/>
    </row>
    <row r="43" spans="1:12" ht="62.4" x14ac:dyDescent="0.35">
      <c r="A43" s="258"/>
      <c r="B43" s="260"/>
      <c r="C43" s="98" t="s">
        <v>151</v>
      </c>
      <c r="D43" s="86"/>
      <c r="E43" s="86"/>
      <c r="F43" s="135"/>
      <c r="G43" s="156">
        <v>853000</v>
      </c>
      <c r="H43" s="156">
        <f t="shared" si="2"/>
        <v>-800</v>
      </c>
      <c r="I43" s="157">
        <v>853800</v>
      </c>
      <c r="J43" s="43"/>
      <c r="K43" s="43"/>
      <c r="L43" s="77"/>
    </row>
    <row r="44" spans="1:12" ht="52.5" customHeight="1" x14ac:dyDescent="0.35">
      <c r="A44" s="258"/>
      <c r="B44" s="260"/>
      <c r="C44" s="98" t="s">
        <v>206</v>
      </c>
      <c r="D44" s="86"/>
      <c r="E44" s="86"/>
      <c r="F44" s="135"/>
      <c r="G44" s="154">
        <v>1778942.44</v>
      </c>
      <c r="H44" s="156">
        <f t="shared" si="2"/>
        <v>-30147.610000000102</v>
      </c>
      <c r="I44" s="155">
        <v>1809090.05</v>
      </c>
      <c r="J44" s="43"/>
      <c r="K44" s="43"/>
      <c r="L44" s="77"/>
    </row>
    <row r="45" spans="1:12" ht="46.8" x14ac:dyDescent="0.35">
      <c r="A45" s="258"/>
      <c r="B45" s="260"/>
      <c r="C45" s="98" t="s">
        <v>152</v>
      </c>
      <c r="D45" s="86"/>
      <c r="E45" s="86"/>
      <c r="F45" s="135"/>
      <c r="G45" s="154"/>
      <c r="H45" s="154"/>
      <c r="I45" s="155"/>
      <c r="J45" s="42">
        <v>228676</v>
      </c>
      <c r="K45" s="42">
        <f>J45-L45</f>
        <v>0</v>
      </c>
      <c r="L45" s="46">
        <v>228676</v>
      </c>
    </row>
    <row r="46" spans="1:12" ht="66" customHeight="1" x14ac:dyDescent="0.35">
      <c r="A46" s="245"/>
      <c r="B46" s="247"/>
      <c r="C46" s="98" t="s">
        <v>153</v>
      </c>
      <c r="D46" s="86"/>
      <c r="E46" s="86"/>
      <c r="F46" s="135"/>
      <c r="G46" s="154"/>
      <c r="H46" s="154"/>
      <c r="I46" s="155"/>
      <c r="J46" s="217">
        <v>465371.98</v>
      </c>
      <c r="K46" s="217">
        <f>L46+L47-J46</f>
        <v>-23388.289999999979</v>
      </c>
      <c r="L46" s="46">
        <v>85906.14</v>
      </c>
    </row>
    <row r="47" spans="1:12" ht="66" customHeight="1" x14ac:dyDescent="0.35">
      <c r="A47" s="245"/>
      <c r="B47" s="247"/>
      <c r="C47" s="98" t="s">
        <v>210</v>
      </c>
      <c r="D47" s="86"/>
      <c r="E47" s="86"/>
      <c r="F47" s="135"/>
      <c r="G47" s="154"/>
      <c r="H47" s="154"/>
      <c r="I47" s="155"/>
      <c r="J47" s="218"/>
      <c r="K47" s="218"/>
      <c r="L47" s="46">
        <v>356077.55</v>
      </c>
    </row>
    <row r="48" spans="1:12" ht="26.25" customHeight="1" x14ac:dyDescent="0.35">
      <c r="A48" s="229"/>
      <c r="B48" s="233"/>
      <c r="C48" s="98" t="s">
        <v>154</v>
      </c>
      <c r="D48" s="86"/>
      <c r="E48" s="86"/>
      <c r="F48" s="135"/>
      <c r="G48" s="154"/>
      <c r="H48" s="154"/>
      <c r="I48" s="155"/>
      <c r="J48" s="42">
        <f>736471.76+80.26</f>
        <v>736552.02</v>
      </c>
      <c r="K48" s="42">
        <f>J48-L48</f>
        <v>-23388.290000000037</v>
      </c>
      <c r="L48" s="46">
        <v>759940.31</v>
      </c>
    </row>
    <row r="49" spans="1:12" ht="18.75" customHeight="1" x14ac:dyDescent="0.35">
      <c r="A49" s="229"/>
      <c r="B49" s="233"/>
      <c r="C49" s="98" t="s">
        <v>155</v>
      </c>
      <c r="D49" s="86">
        <v>165000</v>
      </c>
      <c r="E49" s="86">
        <v>0</v>
      </c>
      <c r="F49" s="135">
        <f>D49+E49</f>
        <v>165000</v>
      </c>
      <c r="G49" s="154"/>
      <c r="H49" s="154"/>
      <c r="I49" s="155"/>
      <c r="J49" s="42"/>
      <c r="K49" s="42"/>
      <c r="L49" s="46"/>
    </row>
    <row r="50" spans="1:12" ht="33.75" customHeight="1" x14ac:dyDescent="0.35">
      <c r="A50" s="229"/>
      <c r="B50" s="233"/>
      <c r="C50" s="98" t="s">
        <v>156</v>
      </c>
      <c r="D50" s="86">
        <v>2108379</v>
      </c>
      <c r="E50" s="86">
        <f t="shared" ref="E50:E56" si="3">D50-F50</f>
        <v>0.64000000013038516</v>
      </c>
      <c r="F50" s="135">
        <v>2108378.36</v>
      </c>
      <c r="G50" s="154"/>
      <c r="H50" s="154"/>
      <c r="I50" s="155"/>
      <c r="J50" s="42"/>
      <c r="K50" s="42"/>
      <c r="L50" s="46"/>
    </row>
    <row r="51" spans="1:12" ht="30.75" customHeight="1" x14ac:dyDescent="0.35">
      <c r="A51" s="229"/>
      <c r="B51" s="233"/>
      <c r="C51" s="101" t="s">
        <v>157</v>
      </c>
      <c r="D51" s="86">
        <v>1183028</v>
      </c>
      <c r="E51" s="86">
        <f t="shared" si="3"/>
        <v>0.61000000010244548</v>
      </c>
      <c r="F51" s="135">
        <v>1183027.3899999999</v>
      </c>
      <c r="G51" s="154"/>
      <c r="H51" s="154"/>
      <c r="I51" s="155"/>
      <c r="J51" s="42"/>
      <c r="K51" s="42"/>
      <c r="L51" s="46"/>
    </row>
    <row r="52" spans="1:12" ht="37.5" customHeight="1" x14ac:dyDescent="0.35">
      <c r="A52" s="229"/>
      <c r="B52" s="233"/>
      <c r="C52" s="101" t="s">
        <v>162</v>
      </c>
      <c r="D52" s="86">
        <v>2193620</v>
      </c>
      <c r="E52" s="86">
        <f t="shared" si="3"/>
        <v>0.75999999977648258</v>
      </c>
      <c r="F52" s="135">
        <v>2193619.2400000002</v>
      </c>
      <c r="G52" s="154"/>
      <c r="H52" s="154"/>
      <c r="I52" s="155"/>
      <c r="J52" s="42"/>
      <c r="K52" s="42"/>
      <c r="L52" s="46"/>
    </row>
    <row r="53" spans="1:12" ht="36.75" customHeight="1" x14ac:dyDescent="0.35">
      <c r="A53" s="229"/>
      <c r="B53" s="233"/>
      <c r="C53" s="101" t="s">
        <v>161</v>
      </c>
      <c r="D53" s="86">
        <v>1466337</v>
      </c>
      <c r="E53" s="86">
        <f t="shared" si="3"/>
        <v>0.62000000011175871</v>
      </c>
      <c r="F53" s="135">
        <v>1466336.38</v>
      </c>
      <c r="G53" s="154"/>
      <c r="H53" s="154"/>
      <c r="I53" s="155"/>
      <c r="J53" s="42"/>
      <c r="K53" s="42"/>
      <c r="L53" s="46"/>
    </row>
    <row r="54" spans="1:12" ht="32.25" customHeight="1" x14ac:dyDescent="0.35">
      <c r="A54" s="229"/>
      <c r="B54" s="233"/>
      <c r="C54" s="102" t="s">
        <v>160</v>
      </c>
      <c r="D54" s="86">
        <v>1192513</v>
      </c>
      <c r="E54" s="86">
        <f t="shared" si="3"/>
        <v>0.93999999994412065</v>
      </c>
      <c r="F54" s="135">
        <v>1192512.06</v>
      </c>
      <c r="G54" s="154"/>
      <c r="H54" s="154"/>
      <c r="I54" s="155"/>
      <c r="J54" s="42"/>
      <c r="K54" s="42"/>
      <c r="L54" s="46"/>
    </row>
    <row r="55" spans="1:12" ht="19.5" customHeight="1" x14ac:dyDescent="0.35">
      <c r="A55" s="229"/>
      <c r="B55" s="233"/>
      <c r="C55" s="102" t="s">
        <v>159</v>
      </c>
      <c r="D55" s="86">
        <v>154147</v>
      </c>
      <c r="E55" s="86">
        <f t="shared" si="3"/>
        <v>0.69000000000232831</v>
      </c>
      <c r="F55" s="135">
        <v>154146.31</v>
      </c>
      <c r="G55" s="154"/>
      <c r="H55" s="154"/>
      <c r="I55" s="155"/>
      <c r="J55" s="42"/>
      <c r="K55" s="42"/>
      <c r="L55" s="46"/>
    </row>
    <row r="56" spans="1:12" ht="26.25" customHeight="1" x14ac:dyDescent="0.35">
      <c r="A56" s="230"/>
      <c r="B56" s="234"/>
      <c r="C56" s="102" t="s">
        <v>158</v>
      </c>
      <c r="D56" s="86">
        <v>46782</v>
      </c>
      <c r="E56" s="86">
        <f t="shared" si="3"/>
        <v>0.26000000000203727</v>
      </c>
      <c r="F56" s="135">
        <v>46781.74</v>
      </c>
      <c r="G56" s="154"/>
      <c r="H56" s="154"/>
      <c r="I56" s="155"/>
      <c r="J56" s="42"/>
      <c r="K56" s="42"/>
      <c r="L56" s="46"/>
    </row>
    <row r="57" spans="1:12" ht="78" x14ac:dyDescent="0.35">
      <c r="A57" s="123"/>
      <c r="B57" s="122"/>
      <c r="C57" s="102" t="s">
        <v>228</v>
      </c>
      <c r="D57" s="95">
        <v>0</v>
      </c>
      <c r="E57" s="86">
        <v>1610031.43</v>
      </c>
      <c r="F57" s="135">
        <f>D57+E57</f>
        <v>1610031.43</v>
      </c>
      <c r="G57" s="154"/>
      <c r="H57" s="154"/>
      <c r="I57" s="155"/>
      <c r="J57" s="42"/>
      <c r="K57" s="42"/>
      <c r="L57" s="46"/>
    </row>
    <row r="58" spans="1:12" ht="46.8" x14ac:dyDescent="0.35">
      <c r="A58" s="123"/>
      <c r="B58" s="122"/>
      <c r="C58" s="102" t="s">
        <v>229</v>
      </c>
      <c r="D58" s="95">
        <v>0</v>
      </c>
      <c r="E58" s="86">
        <v>9228087.0899999999</v>
      </c>
      <c r="F58" s="135">
        <f t="shared" ref="F58:F71" si="4">D58+E58</f>
        <v>9228087.0899999999</v>
      </c>
      <c r="G58" s="154"/>
      <c r="H58" s="154"/>
      <c r="I58" s="155"/>
      <c r="J58" s="42"/>
      <c r="K58" s="42"/>
      <c r="L58" s="46"/>
    </row>
    <row r="59" spans="1:12" ht="46.8" x14ac:dyDescent="0.35">
      <c r="A59" s="123"/>
      <c r="B59" s="122"/>
      <c r="C59" s="102" t="s">
        <v>230</v>
      </c>
      <c r="D59" s="95">
        <v>0</v>
      </c>
      <c r="E59" s="86">
        <v>2333481</v>
      </c>
      <c r="F59" s="135">
        <f t="shared" si="4"/>
        <v>2333481</v>
      </c>
      <c r="G59" s="154"/>
      <c r="H59" s="154"/>
      <c r="I59" s="155"/>
      <c r="J59" s="42"/>
      <c r="K59" s="42"/>
      <c r="L59" s="46"/>
    </row>
    <row r="60" spans="1:12" ht="124.8" x14ac:dyDescent="0.35">
      <c r="A60" s="123"/>
      <c r="B60" s="122"/>
      <c r="C60" s="102" t="s">
        <v>231</v>
      </c>
      <c r="D60" s="95">
        <v>0</v>
      </c>
      <c r="E60" s="86">
        <v>81464.460000000006</v>
      </c>
      <c r="F60" s="135">
        <f t="shared" si="4"/>
        <v>81464.460000000006</v>
      </c>
      <c r="G60" s="154"/>
      <c r="H60" s="154"/>
      <c r="I60" s="155"/>
      <c r="J60" s="42"/>
      <c r="K60" s="42"/>
      <c r="L60" s="46"/>
    </row>
    <row r="61" spans="1:12" ht="132" customHeight="1" x14ac:dyDescent="0.35">
      <c r="A61" s="123"/>
      <c r="B61" s="122"/>
      <c r="C61" s="102" t="s">
        <v>232</v>
      </c>
      <c r="D61" s="95">
        <v>0</v>
      </c>
      <c r="E61" s="86">
        <v>97127.8</v>
      </c>
      <c r="F61" s="135">
        <f t="shared" si="4"/>
        <v>97127.8</v>
      </c>
      <c r="G61" s="154"/>
      <c r="H61" s="154"/>
      <c r="I61" s="155"/>
      <c r="J61" s="42"/>
      <c r="K61" s="42"/>
      <c r="L61" s="46"/>
    </row>
    <row r="62" spans="1:12" ht="124.8" x14ac:dyDescent="0.35">
      <c r="A62" s="123"/>
      <c r="B62" s="122"/>
      <c r="C62" s="102" t="s">
        <v>233</v>
      </c>
      <c r="D62" s="95">
        <v>0</v>
      </c>
      <c r="E62" s="86">
        <v>696000</v>
      </c>
      <c r="F62" s="135">
        <f t="shared" si="4"/>
        <v>696000</v>
      </c>
      <c r="G62" s="154"/>
      <c r="H62" s="154"/>
      <c r="I62" s="155"/>
      <c r="J62" s="42"/>
      <c r="K62" s="42"/>
      <c r="L62" s="46"/>
    </row>
    <row r="63" spans="1:12" ht="96.75" customHeight="1" x14ac:dyDescent="0.35">
      <c r="A63" s="123"/>
      <c r="B63" s="122"/>
      <c r="C63" s="102" t="s">
        <v>234</v>
      </c>
      <c r="D63" s="95">
        <v>0</v>
      </c>
      <c r="E63" s="86">
        <v>1992740</v>
      </c>
      <c r="F63" s="135">
        <f t="shared" si="4"/>
        <v>1992740</v>
      </c>
      <c r="G63" s="154"/>
      <c r="H63" s="154"/>
      <c r="I63" s="155"/>
      <c r="J63" s="42"/>
      <c r="K63" s="42"/>
      <c r="L63" s="46"/>
    </row>
    <row r="64" spans="1:12" ht="30" customHeight="1" x14ac:dyDescent="0.35">
      <c r="A64" s="123"/>
      <c r="B64" s="122"/>
      <c r="C64" s="102" t="s">
        <v>235</v>
      </c>
      <c r="D64" s="95">
        <v>0</v>
      </c>
      <c r="E64" s="86">
        <v>1018178.08</v>
      </c>
      <c r="F64" s="135">
        <f t="shared" si="4"/>
        <v>1018178.08</v>
      </c>
      <c r="G64" s="154"/>
      <c r="H64" s="154"/>
      <c r="I64" s="155"/>
      <c r="J64" s="42"/>
      <c r="K64" s="42"/>
      <c r="L64" s="46"/>
    </row>
    <row r="65" spans="1:12" ht="79.5" customHeight="1" x14ac:dyDescent="0.35">
      <c r="A65" s="123"/>
      <c r="B65" s="122"/>
      <c r="C65" s="102" t="s">
        <v>236</v>
      </c>
      <c r="D65" s="95">
        <v>0</v>
      </c>
      <c r="E65" s="86">
        <v>303997.46000000002</v>
      </c>
      <c r="F65" s="135">
        <f t="shared" si="4"/>
        <v>303997.46000000002</v>
      </c>
      <c r="G65" s="154"/>
      <c r="H65" s="154"/>
      <c r="I65" s="155"/>
      <c r="J65" s="42"/>
      <c r="K65" s="42"/>
      <c r="L65" s="46"/>
    </row>
    <row r="66" spans="1:12" ht="35.25" customHeight="1" x14ac:dyDescent="0.35">
      <c r="A66" s="123"/>
      <c r="B66" s="122"/>
      <c r="C66" s="102" t="s">
        <v>237</v>
      </c>
      <c r="D66" s="95">
        <v>0</v>
      </c>
      <c r="E66" s="86">
        <v>75000</v>
      </c>
      <c r="F66" s="135">
        <f t="shared" si="4"/>
        <v>75000</v>
      </c>
      <c r="G66" s="154"/>
      <c r="H66" s="154"/>
      <c r="I66" s="155"/>
      <c r="J66" s="42"/>
      <c r="K66" s="42"/>
      <c r="L66" s="46"/>
    </row>
    <row r="67" spans="1:12" ht="32.25" customHeight="1" x14ac:dyDescent="0.35">
      <c r="A67" s="123"/>
      <c r="B67" s="122"/>
      <c r="C67" s="102" t="s">
        <v>238</v>
      </c>
      <c r="D67" s="95">
        <v>0</v>
      </c>
      <c r="E67" s="86">
        <v>378000</v>
      </c>
      <c r="F67" s="135">
        <f t="shared" si="4"/>
        <v>378000</v>
      </c>
      <c r="G67" s="154"/>
      <c r="H67" s="154"/>
      <c r="I67" s="155"/>
      <c r="J67" s="42"/>
      <c r="K67" s="42"/>
      <c r="L67" s="46"/>
    </row>
    <row r="68" spans="1:12" ht="124.8" x14ac:dyDescent="0.35">
      <c r="A68" s="123"/>
      <c r="B68" s="122"/>
      <c r="C68" s="102" t="s">
        <v>205</v>
      </c>
      <c r="D68" s="95">
        <v>0</v>
      </c>
      <c r="E68" s="86">
        <v>907589.77</v>
      </c>
      <c r="F68" s="135">
        <f t="shared" si="4"/>
        <v>907589.77</v>
      </c>
      <c r="G68" s="154"/>
      <c r="H68" s="154"/>
      <c r="I68" s="155"/>
      <c r="J68" s="42"/>
      <c r="K68" s="42"/>
      <c r="L68" s="46"/>
    </row>
    <row r="69" spans="1:12" ht="93.6" x14ac:dyDescent="0.35">
      <c r="A69" s="123"/>
      <c r="B69" s="122"/>
      <c r="C69" s="102" t="s">
        <v>239</v>
      </c>
      <c r="D69" s="95">
        <v>0</v>
      </c>
      <c r="E69" s="86">
        <v>137374.59</v>
      </c>
      <c r="F69" s="135">
        <f t="shared" si="4"/>
        <v>137374.59</v>
      </c>
      <c r="G69" s="154"/>
      <c r="H69" s="154"/>
      <c r="I69" s="155"/>
      <c r="J69" s="42"/>
      <c r="K69" s="42"/>
      <c r="L69" s="46"/>
    </row>
    <row r="70" spans="1:12" ht="78" x14ac:dyDescent="0.35">
      <c r="A70" s="123"/>
      <c r="B70" s="122"/>
      <c r="C70" s="102" t="s">
        <v>240</v>
      </c>
      <c r="D70" s="95"/>
      <c r="E70" s="86">
        <v>473000</v>
      </c>
      <c r="F70" s="135">
        <f t="shared" si="4"/>
        <v>473000</v>
      </c>
      <c r="G70" s="154"/>
      <c r="H70" s="154"/>
      <c r="I70" s="155"/>
      <c r="J70" s="42"/>
      <c r="K70" s="42"/>
      <c r="L70" s="46"/>
    </row>
    <row r="71" spans="1:12" ht="57" customHeight="1" x14ac:dyDescent="0.35">
      <c r="A71" s="123"/>
      <c r="B71" s="122"/>
      <c r="C71" s="126" t="str">
        <f>'прил 1 '!C70</f>
        <v>-работы по усилению пулеперехвата в полузакрытом тире</v>
      </c>
      <c r="D71" s="95"/>
      <c r="E71" s="86">
        <v>530205.42000000004</v>
      </c>
      <c r="F71" s="135">
        <f t="shared" si="4"/>
        <v>530205.42000000004</v>
      </c>
      <c r="G71" s="154"/>
      <c r="H71" s="154"/>
      <c r="I71" s="155"/>
      <c r="J71" s="42"/>
      <c r="K71" s="42"/>
      <c r="L71" s="46"/>
    </row>
    <row r="72" spans="1:12" s="169" customFormat="1" ht="66.75" customHeight="1" x14ac:dyDescent="0.25">
      <c r="A72" s="237" t="s">
        <v>164</v>
      </c>
      <c r="B72" s="237"/>
      <c r="C72" s="237"/>
      <c r="D72" s="133">
        <f>SUM(D6:D71)</f>
        <v>73644730.800000012</v>
      </c>
      <c r="E72" s="133"/>
      <c r="F72" s="133">
        <f t="shared" ref="F72" si="5">SUM(F6:F71)</f>
        <v>74194283.189999998</v>
      </c>
      <c r="G72" s="157">
        <f>SUM(G6:G56)</f>
        <v>2949969.2</v>
      </c>
      <c r="H72" s="157"/>
      <c r="I72" s="157">
        <f>SUM(I6:I56)</f>
        <v>2980916.81</v>
      </c>
      <c r="J72" s="133">
        <f>SUM(J6:J56)</f>
        <v>1430600</v>
      </c>
      <c r="K72" s="133"/>
      <c r="L72" s="133">
        <f>SUM(L6:L56)</f>
        <v>1430600</v>
      </c>
    </row>
    <row r="73" spans="1:12" ht="54" customHeight="1" x14ac:dyDescent="0.35">
      <c r="A73" s="75" t="s">
        <v>111</v>
      </c>
      <c r="B73" s="217" t="s">
        <v>174</v>
      </c>
      <c r="C73" s="59" t="s">
        <v>261</v>
      </c>
      <c r="D73" s="82">
        <v>500000</v>
      </c>
      <c r="E73" s="82"/>
      <c r="F73" s="136">
        <f>D73+E73</f>
        <v>500000</v>
      </c>
      <c r="G73" s="158"/>
      <c r="H73" s="158"/>
      <c r="I73" s="159"/>
      <c r="J73" s="71"/>
      <c r="K73" s="71"/>
      <c r="L73" s="144"/>
    </row>
    <row r="74" spans="1:12" ht="100.5" customHeight="1" x14ac:dyDescent="0.35">
      <c r="A74" s="75"/>
      <c r="B74" s="261"/>
      <c r="C74" s="59" t="s">
        <v>200</v>
      </c>
      <c r="D74" s="82">
        <v>13090500</v>
      </c>
      <c r="E74" s="82"/>
      <c r="F74" s="136">
        <f t="shared" ref="F74:F75" si="6">D74+E74</f>
        <v>13090500</v>
      </c>
      <c r="G74" s="158"/>
      <c r="H74" s="158"/>
      <c r="I74" s="159"/>
      <c r="J74" s="71"/>
      <c r="K74" s="71"/>
      <c r="L74" s="144"/>
    </row>
    <row r="75" spans="1:12" ht="46.5" customHeight="1" x14ac:dyDescent="0.35">
      <c r="A75" s="75"/>
      <c r="B75" s="218"/>
      <c r="C75" s="59" t="s">
        <v>181</v>
      </c>
      <c r="D75" s="82">
        <v>992000</v>
      </c>
      <c r="E75" s="82"/>
      <c r="F75" s="136">
        <f t="shared" si="6"/>
        <v>992000</v>
      </c>
      <c r="G75" s="158"/>
      <c r="H75" s="158"/>
      <c r="I75" s="159"/>
      <c r="J75" s="71"/>
      <c r="K75" s="71"/>
      <c r="L75" s="144"/>
    </row>
    <row r="76" spans="1:12" s="169" customFormat="1" ht="53.25" customHeight="1" x14ac:dyDescent="0.3">
      <c r="A76" s="262" t="s">
        <v>165</v>
      </c>
      <c r="B76" s="262"/>
      <c r="C76" s="262"/>
      <c r="D76" s="136">
        <f>SUM(D73:D75)</f>
        <v>14582500</v>
      </c>
      <c r="E76" s="136">
        <f t="shared" ref="E76:F76" si="7">SUM(E73:E75)</f>
        <v>0</v>
      </c>
      <c r="F76" s="136">
        <f t="shared" si="7"/>
        <v>14582500</v>
      </c>
      <c r="G76" s="159"/>
      <c r="H76" s="159"/>
      <c r="I76" s="159"/>
      <c r="J76" s="145"/>
      <c r="K76" s="145"/>
      <c r="L76" s="145"/>
    </row>
    <row r="77" spans="1:12" ht="148.5" customHeight="1" x14ac:dyDescent="0.35">
      <c r="A77" s="228" t="s">
        <v>53</v>
      </c>
      <c r="B77" s="238" t="s">
        <v>175</v>
      </c>
      <c r="C77" s="59" t="s">
        <v>253</v>
      </c>
      <c r="D77" s="82">
        <v>450075</v>
      </c>
      <c r="E77" s="82">
        <f>F77-D77</f>
        <v>-136373</v>
      </c>
      <c r="F77" s="136">
        <v>313702</v>
      </c>
      <c r="G77" s="158"/>
      <c r="H77" s="158"/>
      <c r="I77" s="159"/>
      <c r="J77" s="71"/>
      <c r="K77" s="71"/>
      <c r="L77" s="144"/>
    </row>
    <row r="78" spans="1:12" ht="148.5" customHeight="1" x14ac:dyDescent="0.35">
      <c r="A78" s="244"/>
      <c r="B78" s="246"/>
      <c r="C78" s="59" t="s">
        <v>217</v>
      </c>
      <c r="D78" s="82"/>
      <c r="E78" s="82">
        <f>14912+9304</f>
        <v>24216</v>
      </c>
      <c r="F78" s="136">
        <f>D78+E78</f>
        <v>24216</v>
      </c>
      <c r="G78" s="158"/>
      <c r="H78" s="158"/>
      <c r="I78" s="159"/>
      <c r="J78" s="71"/>
      <c r="K78" s="71"/>
      <c r="L78" s="144"/>
    </row>
    <row r="79" spans="1:12" ht="162.75" customHeight="1" x14ac:dyDescent="0.35">
      <c r="A79" s="244"/>
      <c r="B79" s="246"/>
      <c r="C79" s="59" t="s">
        <v>201</v>
      </c>
      <c r="D79" s="82"/>
      <c r="E79" s="82"/>
      <c r="F79" s="136">
        <f t="shared" ref="F79:F83" si="8">D79+E79</f>
        <v>0</v>
      </c>
      <c r="G79" s="158">
        <v>320611.52</v>
      </c>
      <c r="H79" s="158">
        <f>I79-G79</f>
        <v>289357</v>
      </c>
      <c r="I79" s="159">
        <v>609968.52</v>
      </c>
      <c r="J79" s="71"/>
      <c r="K79" s="71"/>
      <c r="L79" s="144"/>
    </row>
    <row r="80" spans="1:12" ht="67.5" customHeight="1" x14ac:dyDescent="0.35">
      <c r="A80" s="245"/>
      <c r="B80" s="247"/>
      <c r="C80" s="59" t="s">
        <v>185</v>
      </c>
      <c r="D80" s="82">
        <v>99925</v>
      </c>
      <c r="E80" s="82"/>
      <c r="F80" s="136">
        <f t="shared" si="8"/>
        <v>99925</v>
      </c>
      <c r="G80" s="158"/>
      <c r="H80" s="158"/>
      <c r="I80" s="159">
        <f t="shared" ref="I80:I90" si="9">G80+H80</f>
        <v>0</v>
      </c>
      <c r="J80" s="71"/>
      <c r="K80" s="71"/>
      <c r="L80" s="144"/>
    </row>
    <row r="81" spans="1:12" ht="78" customHeight="1" x14ac:dyDescent="0.35">
      <c r="A81" s="90"/>
      <c r="B81" s="90"/>
      <c r="C81" s="91" t="s">
        <v>176</v>
      </c>
      <c r="D81" s="95"/>
      <c r="E81" s="95"/>
      <c r="F81" s="136">
        <f t="shared" si="8"/>
        <v>0</v>
      </c>
      <c r="G81" s="160">
        <v>177200</v>
      </c>
      <c r="H81" s="160">
        <v>-177200</v>
      </c>
      <c r="I81" s="159">
        <f t="shared" si="9"/>
        <v>0</v>
      </c>
      <c r="J81" s="71"/>
      <c r="K81" s="71"/>
      <c r="L81" s="144"/>
    </row>
    <row r="82" spans="1:12" ht="82.5" customHeight="1" x14ac:dyDescent="0.25">
      <c r="A82" s="90"/>
      <c r="B82" s="90"/>
      <c r="C82" s="59" t="s">
        <v>182</v>
      </c>
      <c r="D82" s="95"/>
      <c r="E82" s="95"/>
      <c r="F82" s="136">
        <f t="shared" si="8"/>
        <v>0</v>
      </c>
      <c r="G82" s="160"/>
      <c r="H82" s="160"/>
      <c r="I82" s="159">
        <f t="shared" si="9"/>
        <v>0</v>
      </c>
      <c r="J82" s="94">
        <v>180378</v>
      </c>
      <c r="K82" s="94">
        <f>L82-J82</f>
        <v>-33609.399999999994</v>
      </c>
      <c r="L82" s="146">
        <v>146768.6</v>
      </c>
    </row>
    <row r="83" spans="1:12" ht="129" customHeight="1" x14ac:dyDescent="0.25">
      <c r="A83" s="90"/>
      <c r="B83" s="90"/>
      <c r="C83" s="59" t="s">
        <v>218</v>
      </c>
      <c r="D83" s="95"/>
      <c r="E83" s="95"/>
      <c r="F83" s="136">
        <f t="shared" si="8"/>
        <v>0</v>
      </c>
      <c r="G83" s="160"/>
      <c r="H83" s="160"/>
      <c r="I83" s="159">
        <f t="shared" si="9"/>
        <v>0</v>
      </c>
      <c r="J83" s="94">
        <v>454622</v>
      </c>
      <c r="K83" s="94">
        <f>L83-J83</f>
        <v>3761.4000000000233</v>
      </c>
      <c r="L83" s="146">
        <v>458383.4</v>
      </c>
    </row>
    <row r="84" spans="1:12" s="169" customFormat="1" ht="38.25" customHeight="1" x14ac:dyDescent="0.25">
      <c r="A84" s="237" t="s">
        <v>166</v>
      </c>
      <c r="B84" s="237"/>
      <c r="C84" s="237"/>
      <c r="D84" s="133">
        <f>D77+D80+D81+D82+D83+D79+D78</f>
        <v>550000</v>
      </c>
      <c r="E84" s="133"/>
      <c r="F84" s="133">
        <f>F77+F80+F81+F82+F83+F79+F78</f>
        <v>437843</v>
      </c>
      <c r="G84" s="157">
        <f>G77+G80+G81+G82+G83+G79+G78</f>
        <v>497811.52</v>
      </c>
      <c r="H84" s="157"/>
      <c r="I84" s="157">
        <f t="shared" ref="I84" si="10">I77+I80+I81+I82+I83+I79+I78</f>
        <v>609968.52</v>
      </c>
      <c r="J84" s="133">
        <f t="shared" ref="J84" si="11">J77+J80+J81+J82+J83+J79+J78</f>
        <v>635000</v>
      </c>
      <c r="K84" s="133"/>
      <c r="L84" s="146">
        <f t="shared" ref="L84:L111" si="12">J84+K84</f>
        <v>635000</v>
      </c>
    </row>
    <row r="85" spans="1:12" ht="206.25" customHeight="1" x14ac:dyDescent="0.25">
      <c r="A85" s="228" t="s">
        <v>58</v>
      </c>
      <c r="B85" s="238" t="s">
        <v>55</v>
      </c>
      <c r="C85" s="59" t="s">
        <v>177</v>
      </c>
      <c r="D85" s="82"/>
      <c r="E85" s="82"/>
      <c r="F85" s="136">
        <f>D85+E85</f>
        <v>0</v>
      </c>
      <c r="G85" s="158"/>
      <c r="H85" s="158"/>
      <c r="I85" s="159">
        <f t="shared" si="9"/>
        <v>0</v>
      </c>
      <c r="J85" s="94">
        <v>529800</v>
      </c>
      <c r="K85" s="94"/>
      <c r="L85" s="146">
        <f t="shared" si="12"/>
        <v>529800</v>
      </c>
    </row>
    <row r="86" spans="1:12" ht="132" customHeight="1" x14ac:dyDescent="0.25">
      <c r="A86" s="229"/>
      <c r="B86" s="233"/>
      <c r="C86" s="59" t="s">
        <v>184</v>
      </c>
      <c r="D86" s="82"/>
      <c r="E86" s="82"/>
      <c r="F86" s="136">
        <f t="shared" ref="F86:F90" si="13">D86+E86</f>
        <v>0</v>
      </c>
      <c r="G86" s="158"/>
      <c r="H86" s="158"/>
      <c r="I86" s="159">
        <f t="shared" si="9"/>
        <v>0</v>
      </c>
      <c r="J86" s="94">
        <v>420000</v>
      </c>
      <c r="K86" s="94"/>
      <c r="L86" s="146">
        <f t="shared" si="12"/>
        <v>420000</v>
      </c>
    </row>
    <row r="87" spans="1:12" ht="88.5" customHeight="1" x14ac:dyDescent="0.25">
      <c r="A87" s="229"/>
      <c r="B87" s="233"/>
      <c r="C87" s="59" t="s">
        <v>183</v>
      </c>
      <c r="D87" s="82">
        <v>10200</v>
      </c>
      <c r="E87" s="82"/>
      <c r="F87" s="136">
        <f t="shared" si="13"/>
        <v>10200</v>
      </c>
      <c r="G87" s="158"/>
      <c r="H87" s="158"/>
      <c r="I87" s="159">
        <f>G87+H87</f>
        <v>0</v>
      </c>
      <c r="J87" s="94"/>
      <c r="K87" s="94"/>
      <c r="L87" s="146">
        <f t="shared" si="12"/>
        <v>0</v>
      </c>
    </row>
    <row r="88" spans="1:12" ht="75.75" customHeight="1" x14ac:dyDescent="0.25">
      <c r="A88" s="229"/>
      <c r="B88" s="233"/>
      <c r="C88" s="59" t="s">
        <v>141</v>
      </c>
      <c r="D88" s="82"/>
      <c r="E88" s="82"/>
      <c r="F88" s="136">
        <f t="shared" si="13"/>
        <v>0</v>
      </c>
      <c r="G88" s="158">
        <v>10000</v>
      </c>
      <c r="H88" s="158"/>
      <c r="I88" s="159">
        <f t="shared" si="9"/>
        <v>10000</v>
      </c>
      <c r="J88" s="94"/>
      <c r="K88" s="94"/>
      <c r="L88" s="146">
        <f t="shared" si="12"/>
        <v>0</v>
      </c>
    </row>
    <row r="89" spans="1:12" ht="111" customHeight="1" x14ac:dyDescent="0.25">
      <c r="A89" s="230"/>
      <c r="B89" s="234"/>
      <c r="C89" s="59" t="s">
        <v>186</v>
      </c>
      <c r="D89" s="82">
        <f>645351.57+665600-10000</f>
        <v>1300951.5699999998</v>
      </c>
      <c r="E89" s="82"/>
      <c r="F89" s="136">
        <f t="shared" si="13"/>
        <v>1300951.5699999998</v>
      </c>
      <c r="G89" s="158"/>
      <c r="H89" s="158"/>
      <c r="I89" s="159">
        <f t="shared" si="9"/>
        <v>0</v>
      </c>
      <c r="J89" s="94"/>
      <c r="K89" s="94"/>
      <c r="L89" s="146">
        <f t="shared" si="12"/>
        <v>0</v>
      </c>
    </row>
    <row r="90" spans="1:12" ht="63.75" customHeight="1" x14ac:dyDescent="0.25">
      <c r="A90" s="239" t="s">
        <v>167</v>
      </c>
      <c r="B90" s="239"/>
      <c r="C90" s="239"/>
      <c r="D90" s="81">
        <f>D89+D88+D87+D86+D85</f>
        <v>1311151.5699999998</v>
      </c>
      <c r="E90" s="81"/>
      <c r="F90" s="136">
        <f t="shared" si="13"/>
        <v>1311151.5699999998</v>
      </c>
      <c r="G90" s="156">
        <f>G89+G88+G87+G86+G85</f>
        <v>10000</v>
      </c>
      <c r="H90" s="156"/>
      <c r="I90" s="159">
        <f t="shared" si="9"/>
        <v>10000</v>
      </c>
      <c r="J90" s="81">
        <f>J89+J88+J87+J86+J85</f>
        <v>949800</v>
      </c>
      <c r="K90" s="81"/>
      <c r="L90" s="146">
        <f t="shared" si="12"/>
        <v>949800</v>
      </c>
    </row>
    <row r="91" spans="1:12" ht="116.25" customHeight="1" x14ac:dyDescent="0.25">
      <c r="A91" s="240">
        <v>5</v>
      </c>
      <c r="B91" s="242" t="s">
        <v>163</v>
      </c>
      <c r="C91" s="89" t="s">
        <v>212</v>
      </c>
      <c r="D91" s="81"/>
      <c r="E91" s="81"/>
      <c r="F91" s="133"/>
      <c r="G91" s="156">
        <v>498200</v>
      </c>
      <c r="H91" s="156">
        <v>2233</v>
      </c>
      <c r="I91" s="157">
        <f>G91+H91</f>
        <v>500433</v>
      </c>
      <c r="J91" s="95"/>
      <c r="K91" s="95"/>
      <c r="L91" s="146">
        <f t="shared" si="12"/>
        <v>0</v>
      </c>
    </row>
    <row r="92" spans="1:12" ht="80.25" customHeight="1" x14ac:dyDescent="0.25">
      <c r="A92" s="241"/>
      <c r="B92" s="243"/>
      <c r="C92" s="89" t="s">
        <v>254</v>
      </c>
      <c r="D92" s="81"/>
      <c r="E92" s="81"/>
      <c r="F92" s="133"/>
      <c r="G92" s="156"/>
      <c r="H92" s="156"/>
      <c r="I92" s="157">
        <f t="shared" ref="I92" si="14">G92+H92</f>
        <v>0</v>
      </c>
      <c r="J92" s="81">
        <v>161000</v>
      </c>
      <c r="K92" s="81"/>
      <c r="L92" s="146">
        <f t="shared" si="12"/>
        <v>161000</v>
      </c>
    </row>
    <row r="93" spans="1:12" ht="153" customHeight="1" x14ac:dyDescent="0.35">
      <c r="A93" s="241"/>
      <c r="B93" s="243"/>
      <c r="C93" s="89" t="s">
        <v>213</v>
      </c>
      <c r="D93" s="81"/>
      <c r="F93" s="133"/>
      <c r="G93" s="156"/>
      <c r="H93" s="156">
        <f>I93</f>
        <v>53160.21</v>
      </c>
      <c r="I93" s="157">
        <v>53160.21</v>
      </c>
      <c r="J93" s="81"/>
      <c r="K93" s="81"/>
      <c r="L93" s="146"/>
    </row>
    <row r="94" spans="1:12" ht="189" customHeight="1" x14ac:dyDescent="0.35">
      <c r="A94" s="241"/>
      <c r="B94" s="243"/>
      <c r="C94" s="89" t="s">
        <v>214</v>
      </c>
      <c r="E94" s="81">
        <f>12806+11114+57500+2137</f>
        <v>83557</v>
      </c>
      <c r="F94" s="133">
        <f>E94</f>
        <v>83557</v>
      </c>
      <c r="G94" s="156"/>
      <c r="H94" s="156"/>
      <c r="I94" s="157"/>
      <c r="J94" s="81"/>
      <c r="K94" s="81"/>
      <c r="L94" s="146"/>
    </row>
    <row r="95" spans="1:12" ht="109.2" x14ac:dyDescent="0.25">
      <c r="A95" s="241"/>
      <c r="B95" s="243"/>
      <c r="C95" s="89" t="s">
        <v>265</v>
      </c>
      <c r="D95" s="81"/>
      <c r="E95" s="81">
        <f>F95</f>
        <v>760285.32</v>
      </c>
      <c r="F95" s="167">
        <v>760285.32</v>
      </c>
      <c r="G95" s="156"/>
      <c r="H95" s="156"/>
      <c r="I95" s="157"/>
      <c r="J95" s="81"/>
      <c r="K95" s="81"/>
      <c r="L95" s="146"/>
    </row>
    <row r="96" spans="1:12" ht="31.2" x14ac:dyDescent="0.25">
      <c r="A96" s="241"/>
      <c r="B96" s="243"/>
      <c r="C96" s="89" t="s">
        <v>216</v>
      </c>
      <c r="D96" s="81"/>
      <c r="E96" s="95">
        <v>84700</v>
      </c>
      <c r="F96" s="137">
        <f>E96</f>
        <v>84700</v>
      </c>
      <c r="G96" s="156"/>
      <c r="H96" s="156"/>
      <c r="I96" s="157"/>
      <c r="J96" s="81"/>
      <c r="K96" s="81"/>
      <c r="L96" s="146"/>
    </row>
    <row r="97" spans="1:12" ht="109.2" x14ac:dyDescent="0.25">
      <c r="A97" s="241"/>
      <c r="B97" s="243"/>
      <c r="C97" s="89" t="s">
        <v>220</v>
      </c>
      <c r="D97" s="81"/>
      <c r="E97" s="81">
        <f>F97</f>
        <v>172838.68</v>
      </c>
      <c r="F97" s="168">
        <v>172838.68</v>
      </c>
      <c r="G97" s="156"/>
      <c r="H97" s="156"/>
      <c r="I97" s="157"/>
      <c r="J97" s="81"/>
      <c r="K97" s="81"/>
      <c r="L97" s="146"/>
    </row>
    <row r="98" spans="1:12" ht="140.4" x14ac:dyDescent="0.25">
      <c r="A98" s="241"/>
      <c r="B98" s="243"/>
      <c r="C98" s="89" t="s">
        <v>266</v>
      </c>
      <c r="D98" s="81"/>
      <c r="E98" s="81">
        <v>15442</v>
      </c>
      <c r="F98" s="167">
        <f>E98</f>
        <v>15442</v>
      </c>
      <c r="G98" s="156"/>
      <c r="H98" s="156"/>
      <c r="I98" s="157"/>
      <c r="J98" s="81"/>
      <c r="K98" s="81"/>
      <c r="L98" s="146"/>
    </row>
    <row r="99" spans="1:12" ht="109.2" x14ac:dyDescent="0.25">
      <c r="A99" s="241"/>
      <c r="B99" s="243"/>
      <c r="C99" s="89" t="s">
        <v>221</v>
      </c>
      <c r="D99" s="81"/>
      <c r="E99" s="81"/>
      <c r="F99" s="137"/>
      <c r="G99" s="156"/>
      <c r="H99" s="156">
        <v>46300</v>
      </c>
      <c r="I99" s="157">
        <f>H99</f>
        <v>46300</v>
      </c>
      <c r="J99" s="81"/>
      <c r="K99" s="81"/>
      <c r="L99" s="146"/>
    </row>
    <row r="100" spans="1:12" ht="93.6" x14ac:dyDescent="0.25">
      <c r="A100" s="171"/>
      <c r="B100" s="170"/>
      <c r="C100" s="89" t="s">
        <v>255</v>
      </c>
      <c r="D100" s="81">
        <v>138700</v>
      </c>
      <c r="E100" s="81"/>
      <c r="F100" s="137"/>
      <c r="G100" s="156"/>
      <c r="H100" s="156"/>
      <c r="I100" s="157"/>
      <c r="J100" s="81"/>
      <c r="K100" s="81"/>
      <c r="L100" s="146"/>
    </row>
    <row r="101" spans="1:12" ht="63.75" customHeight="1" x14ac:dyDescent="0.25">
      <c r="A101" s="225" t="s">
        <v>170</v>
      </c>
      <c r="B101" s="226"/>
      <c r="C101" s="227"/>
      <c r="D101" s="81">
        <f>SUM(D91:D100)</f>
        <v>138700</v>
      </c>
      <c r="E101" s="81">
        <f>SUM(E91:E99)</f>
        <v>1116823</v>
      </c>
      <c r="F101" s="81">
        <f>F98+F97+F96+F94+F95</f>
        <v>1116823</v>
      </c>
      <c r="G101" s="81">
        <f t="shared" ref="G101:L101" si="15">SUM(G91:G99)</f>
        <v>498200</v>
      </c>
      <c r="H101" s="81">
        <f t="shared" si="15"/>
        <v>101693.20999999999</v>
      </c>
      <c r="I101" s="81">
        <f t="shared" si="15"/>
        <v>599893.21</v>
      </c>
      <c r="J101" s="81">
        <f t="shared" si="15"/>
        <v>161000</v>
      </c>
      <c r="K101" s="81">
        <f t="shared" si="15"/>
        <v>0</v>
      </c>
      <c r="L101" s="81">
        <f t="shared" si="15"/>
        <v>161000</v>
      </c>
    </row>
    <row r="102" spans="1:12" ht="139.5" customHeight="1" x14ac:dyDescent="0.25">
      <c r="A102" s="228" t="s">
        <v>140</v>
      </c>
      <c r="B102" s="231" t="s">
        <v>33</v>
      </c>
      <c r="C102" s="87" t="s">
        <v>256</v>
      </c>
      <c r="D102" s="93">
        <f>1057836.91+169800</f>
        <v>1227636.9099999999</v>
      </c>
      <c r="E102" s="93">
        <f>F102-D102</f>
        <v>1541828.68</v>
      </c>
      <c r="F102" s="138">
        <v>2769465.59</v>
      </c>
      <c r="G102" s="154"/>
      <c r="H102" s="154"/>
      <c r="I102" s="155"/>
      <c r="J102" s="94"/>
      <c r="K102" s="94"/>
      <c r="L102" s="146">
        <f t="shared" si="12"/>
        <v>0</v>
      </c>
    </row>
    <row r="103" spans="1:12" ht="81" customHeight="1" x14ac:dyDescent="0.25">
      <c r="A103" s="229"/>
      <c r="B103" s="232"/>
      <c r="C103" s="92" t="s">
        <v>178</v>
      </c>
      <c r="D103" s="93">
        <f>79900+1000000</f>
        <v>1079900</v>
      </c>
      <c r="E103" s="93"/>
      <c r="F103" s="138">
        <f t="shared" ref="F103" si="16">D103+E103</f>
        <v>1079900</v>
      </c>
      <c r="G103" s="154"/>
      <c r="H103" s="154"/>
      <c r="I103" s="155"/>
      <c r="J103" s="94"/>
      <c r="K103" s="94"/>
      <c r="L103" s="146">
        <f t="shared" si="12"/>
        <v>0</v>
      </c>
    </row>
    <row r="104" spans="1:12" ht="213" customHeight="1" x14ac:dyDescent="0.25">
      <c r="A104" s="229"/>
      <c r="B104" s="233"/>
      <c r="C104" s="87" t="s">
        <v>257</v>
      </c>
      <c r="D104" s="93"/>
      <c r="E104" s="93"/>
      <c r="F104" s="138"/>
      <c r="G104" s="154"/>
      <c r="H104" s="154"/>
      <c r="I104" s="155"/>
      <c r="J104" s="94">
        <v>518300</v>
      </c>
      <c r="K104" s="94"/>
      <c r="L104" s="146">
        <f t="shared" si="12"/>
        <v>518300</v>
      </c>
    </row>
    <row r="105" spans="1:12" ht="204.75" customHeight="1" x14ac:dyDescent="0.25">
      <c r="A105" s="230"/>
      <c r="B105" s="234"/>
      <c r="C105" s="87" t="s">
        <v>215</v>
      </c>
      <c r="D105" s="93"/>
      <c r="E105" s="93"/>
      <c r="F105" s="138"/>
      <c r="G105" s="154">
        <v>0</v>
      </c>
      <c r="H105" s="154">
        <v>90000</v>
      </c>
      <c r="I105" s="155">
        <v>90000</v>
      </c>
      <c r="J105" s="94">
        <v>90000</v>
      </c>
      <c r="K105" s="94">
        <v>-90000</v>
      </c>
      <c r="L105" s="146">
        <v>0</v>
      </c>
    </row>
    <row r="106" spans="1:12" ht="120" customHeight="1" x14ac:dyDescent="0.25">
      <c r="A106" s="123"/>
      <c r="B106" s="122"/>
      <c r="C106" s="87" t="s">
        <v>222</v>
      </c>
      <c r="D106" s="93"/>
      <c r="E106" s="93">
        <v>3661</v>
      </c>
      <c r="F106" s="138">
        <f>E106</f>
        <v>3661</v>
      </c>
      <c r="G106" s="154"/>
      <c r="H106" s="154"/>
      <c r="I106" s="155"/>
      <c r="J106" s="94"/>
      <c r="K106" s="94"/>
      <c r="L106" s="146"/>
    </row>
    <row r="107" spans="1:12" ht="112.5" customHeight="1" x14ac:dyDescent="0.25">
      <c r="A107" s="123"/>
      <c r="B107" s="122"/>
      <c r="C107" s="87" t="s">
        <v>224</v>
      </c>
      <c r="D107" s="93"/>
      <c r="E107" s="93">
        <v>13942</v>
      </c>
      <c r="F107" s="138">
        <f>E107</f>
        <v>13942</v>
      </c>
      <c r="G107" s="154"/>
      <c r="H107" s="154"/>
      <c r="I107" s="155"/>
      <c r="J107" s="94"/>
      <c r="K107" s="94"/>
      <c r="L107" s="146"/>
    </row>
    <row r="108" spans="1:12" ht="93.6" x14ac:dyDescent="0.25">
      <c r="A108" s="123"/>
      <c r="B108" s="122"/>
      <c r="C108" s="87" t="s">
        <v>258</v>
      </c>
      <c r="D108" s="93"/>
      <c r="E108" s="93">
        <v>7859</v>
      </c>
      <c r="F108" s="138">
        <f>E108</f>
        <v>7859</v>
      </c>
      <c r="G108" s="154"/>
      <c r="H108" s="154"/>
      <c r="I108" s="155"/>
      <c r="J108" s="94"/>
      <c r="K108" s="94"/>
      <c r="L108" s="146"/>
    </row>
    <row r="109" spans="1:12" ht="140.4" x14ac:dyDescent="0.25">
      <c r="A109" s="123"/>
      <c r="B109" s="122"/>
      <c r="C109" s="87" t="s">
        <v>259</v>
      </c>
      <c r="D109" s="93"/>
      <c r="E109" s="93">
        <v>567193.11</v>
      </c>
      <c r="F109" s="138">
        <f>E109</f>
        <v>567193.11</v>
      </c>
      <c r="G109" s="154"/>
      <c r="H109" s="154"/>
      <c r="I109" s="155"/>
      <c r="J109" s="94"/>
      <c r="K109" s="94"/>
      <c r="L109" s="146"/>
    </row>
    <row r="110" spans="1:12" ht="45" customHeight="1" x14ac:dyDescent="0.25">
      <c r="A110" s="235" t="s">
        <v>168</v>
      </c>
      <c r="B110" s="235"/>
      <c r="C110" s="235"/>
      <c r="D110" s="82">
        <f>D102+D105+D104+D103</f>
        <v>2307536.91</v>
      </c>
      <c r="E110" s="82"/>
      <c r="F110" s="138">
        <f>F109+F108+F107+F106+F103+F102</f>
        <v>4442020.6999999993</v>
      </c>
      <c r="G110" s="160">
        <f>G102+G105+G104+G103</f>
        <v>0</v>
      </c>
      <c r="H110" s="160">
        <f t="shared" ref="H110:I110" si="17">H102+H105+H104+H103</f>
        <v>90000</v>
      </c>
      <c r="I110" s="161">
        <f t="shared" si="17"/>
        <v>90000</v>
      </c>
      <c r="J110" s="82">
        <f>J102+J105+J104+J103</f>
        <v>608300</v>
      </c>
      <c r="K110" s="82"/>
      <c r="L110" s="146">
        <f>L104</f>
        <v>518300</v>
      </c>
    </row>
    <row r="111" spans="1:12" s="78" customFormat="1" ht="86.25" customHeight="1" x14ac:dyDescent="0.3">
      <c r="A111" s="96">
        <v>7</v>
      </c>
      <c r="B111" s="76" t="s">
        <v>110</v>
      </c>
      <c r="C111" s="85" t="s">
        <v>252</v>
      </c>
      <c r="D111" s="44">
        <v>1088500</v>
      </c>
      <c r="E111" s="44">
        <f>F111-D111</f>
        <v>482900</v>
      </c>
      <c r="F111" s="138">
        <v>1571400</v>
      </c>
      <c r="G111" s="162"/>
      <c r="H111" s="162"/>
      <c r="I111" s="162"/>
      <c r="J111" s="77"/>
      <c r="K111" s="77"/>
      <c r="L111" s="146">
        <f t="shared" si="12"/>
        <v>0</v>
      </c>
    </row>
    <row r="112" spans="1:12" ht="18" x14ac:dyDescent="0.35">
      <c r="A112" s="236" t="s">
        <v>83</v>
      </c>
      <c r="B112" s="236"/>
      <c r="C112" s="236"/>
      <c r="D112" s="88">
        <f>D110+D76+D72+D90+D84+D111+D101</f>
        <v>93623119.280000001</v>
      </c>
      <c r="E112" s="88"/>
      <c r="F112" s="88">
        <f>F110+F76+F72+F90+F84+F111+F101</f>
        <v>97656021.459999993</v>
      </c>
      <c r="G112" s="163">
        <f>G110+G76+G72+G90+G84+G111+G101</f>
        <v>3955980.72</v>
      </c>
      <c r="H112" s="163"/>
      <c r="I112" s="164">
        <f>I110+I76+I72+I90+I84+I111+I101</f>
        <v>4290778.54</v>
      </c>
      <c r="J112" s="88">
        <f>J110+J76+J72+J90+J84+J111+J101</f>
        <v>3784700</v>
      </c>
      <c r="K112" s="88">
        <f t="shared" ref="K112:L112" si="18">K110+K76+K72+K90+K84+K111+K101</f>
        <v>0</v>
      </c>
      <c r="L112" s="88">
        <f t="shared" si="18"/>
        <v>3694700</v>
      </c>
    </row>
    <row r="113" spans="1:12" ht="20.25" customHeight="1" x14ac:dyDescent="0.35">
      <c r="A113" s="222" t="s">
        <v>109</v>
      </c>
      <c r="B113" s="223"/>
      <c r="C113" s="224"/>
      <c r="D113" s="219">
        <f>F112+I112</f>
        <v>101946800</v>
      </c>
      <c r="E113" s="220"/>
      <c r="F113" s="220"/>
      <c r="G113" s="221"/>
      <c r="H113" s="127"/>
      <c r="I113" s="148"/>
      <c r="J113" s="70"/>
      <c r="K113" s="70"/>
      <c r="L113" s="165"/>
    </row>
    <row r="114" spans="1:12" ht="18" x14ac:dyDescent="0.35">
      <c r="A114" s="222" t="s">
        <v>169</v>
      </c>
      <c r="B114" s="223"/>
      <c r="C114" s="224"/>
      <c r="D114" s="88"/>
      <c r="E114" s="88"/>
      <c r="F114" s="139"/>
      <c r="G114" s="72"/>
      <c r="H114" s="72"/>
      <c r="I114" s="149"/>
      <c r="J114" s="70">
        <f>J112</f>
        <v>3784700</v>
      </c>
      <c r="K114" s="70"/>
      <c r="L114" s="165"/>
    </row>
    <row r="115" spans="1:12" ht="18" x14ac:dyDescent="0.35"/>
    <row r="116" spans="1:12" ht="18" x14ac:dyDescent="0.35"/>
    <row r="117" spans="1:12" ht="18" x14ac:dyDescent="0.35"/>
  </sheetData>
  <mergeCells count="30">
    <mergeCell ref="B77:B80"/>
    <mergeCell ref="A2:J2"/>
    <mergeCell ref="A3:A4"/>
    <mergeCell ref="B3:B4"/>
    <mergeCell ref="C3:C4"/>
    <mergeCell ref="D3:D4"/>
    <mergeCell ref="G3:G4"/>
    <mergeCell ref="J3:J4"/>
    <mergeCell ref="A5:A56"/>
    <mergeCell ref="B5:B56"/>
    <mergeCell ref="A72:C72"/>
    <mergeCell ref="B73:B75"/>
    <mergeCell ref="A76:C76"/>
    <mergeCell ref="J46:J47"/>
    <mergeCell ref="K46:K47"/>
    <mergeCell ref="D113:G113"/>
    <mergeCell ref="A114:C114"/>
    <mergeCell ref="A101:C101"/>
    <mergeCell ref="A102:A105"/>
    <mergeCell ref="B102:B105"/>
    <mergeCell ref="A110:C110"/>
    <mergeCell ref="A112:C112"/>
    <mergeCell ref="A113:C113"/>
    <mergeCell ref="A84:C84"/>
    <mergeCell ref="A85:A89"/>
    <mergeCell ref="B85:B89"/>
    <mergeCell ref="A90:C90"/>
    <mergeCell ref="A91:A99"/>
    <mergeCell ref="B91:B99"/>
    <mergeCell ref="A77:A80"/>
  </mergeCells>
  <pageMargins left="0.31496062992125984" right="0.31496062992125984" top="0.35433070866141736" bottom="0.35433070866141736" header="0.31496062992125984" footer="0.31496062992125984"/>
  <pageSetup paperSize="9" scale="60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workbookViewId="0">
      <selection activeCell="H11" sqref="H11"/>
    </sheetView>
  </sheetViews>
  <sheetFormatPr defaultColWidth="9.109375" defaultRowHeight="18" x14ac:dyDescent="0.35"/>
  <cols>
    <col min="1" max="1" width="46.109375" style="105" customWidth="1"/>
    <col min="2" max="2" width="74.88671875" style="105" customWidth="1"/>
    <col min="3" max="3" width="17.44140625" style="7" customWidth="1"/>
    <col min="4" max="7" width="9.109375" style="105"/>
    <col min="8" max="8" width="13" style="105" bestFit="1" customWidth="1"/>
    <col min="9" max="16384" width="9.109375" style="105"/>
  </cols>
  <sheetData>
    <row r="1" spans="1:9" x14ac:dyDescent="0.35">
      <c r="C1" s="7" t="s">
        <v>190</v>
      </c>
    </row>
    <row r="2" spans="1:9" ht="28.2" x14ac:dyDescent="0.5">
      <c r="B2" s="106" t="s">
        <v>197</v>
      </c>
      <c r="H2" s="7"/>
      <c r="I2" s="7"/>
    </row>
    <row r="3" spans="1:9" x14ac:dyDescent="0.35">
      <c r="A3" s="119" t="s">
        <v>195</v>
      </c>
      <c r="B3" s="107" t="s">
        <v>192</v>
      </c>
      <c r="C3" s="108" t="s">
        <v>189</v>
      </c>
      <c r="H3" s="7"/>
      <c r="I3" s="7"/>
    </row>
    <row r="4" spans="1:9" ht="33" customHeight="1" x14ac:dyDescent="0.35">
      <c r="A4" s="263" t="s">
        <v>198</v>
      </c>
      <c r="B4" s="112" t="s">
        <v>191</v>
      </c>
      <c r="C4" s="108">
        <v>717363.54</v>
      </c>
      <c r="H4" s="7">
        <v>12806</v>
      </c>
      <c r="I4" s="7"/>
    </row>
    <row r="5" spans="1:9" ht="33" customHeight="1" x14ac:dyDescent="0.35">
      <c r="A5" s="264"/>
      <c r="B5" s="113" t="s">
        <v>188</v>
      </c>
      <c r="C5" s="108">
        <f>54700+30000</f>
        <v>84700</v>
      </c>
      <c r="H5" s="7">
        <v>11414</v>
      </c>
      <c r="I5" s="7"/>
    </row>
    <row r="6" spans="1:9" s="117" customFormat="1" ht="17.25" customHeight="1" x14ac:dyDescent="0.3">
      <c r="A6" s="114" t="s">
        <v>194</v>
      </c>
      <c r="B6" s="115" t="s">
        <v>198</v>
      </c>
      <c r="C6" s="116">
        <f>SUM(C4:C5)</f>
        <v>802063.54</v>
      </c>
      <c r="H6" s="120">
        <v>2233</v>
      </c>
      <c r="I6" s="120"/>
    </row>
    <row r="7" spans="1:9" ht="27.75" customHeight="1" x14ac:dyDescent="0.35">
      <c r="A7" s="263" t="s">
        <v>199</v>
      </c>
      <c r="B7" s="110" t="s">
        <v>193</v>
      </c>
      <c r="C7" s="108">
        <f>45000*4</f>
        <v>180000</v>
      </c>
      <c r="H7" s="7">
        <v>2137</v>
      </c>
      <c r="I7" s="7"/>
    </row>
    <row r="8" spans="1:9" x14ac:dyDescent="0.35">
      <c r="A8" s="265"/>
      <c r="B8" s="109" t="s">
        <v>187</v>
      </c>
      <c r="C8" s="108">
        <v>137192.5</v>
      </c>
      <c r="H8" s="7">
        <v>18880</v>
      </c>
      <c r="I8" s="7"/>
    </row>
    <row r="9" spans="1:9" s="117" customFormat="1" ht="17.25" customHeight="1" x14ac:dyDescent="0.3">
      <c r="A9" s="114" t="s">
        <v>194</v>
      </c>
      <c r="B9" s="115" t="s">
        <v>199</v>
      </c>
      <c r="C9" s="116">
        <f>SUM(C7:C8)</f>
        <v>317192.5</v>
      </c>
      <c r="H9" s="120">
        <v>57500</v>
      </c>
      <c r="I9" s="120"/>
    </row>
    <row r="10" spans="1:9" x14ac:dyDescent="0.35">
      <c r="A10" s="111"/>
      <c r="B10" s="118" t="s">
        <v>196</v>
      </c>
      <c r="C10" s="116">
        <f>C9+C6</f>
        <v>1119256.04</v>
      </c>
      <c r="H10" s="7">
        <v>34280.21</v>
      </c>
    </row>
    <row r="11" spans="1:9" x14ac:dyDescent="0.35">
      <c r="H11" s="7">
        <f>SUM(H4:H10)</f>
        <v>139250.21</v>
      </c>
    </row>
    <row r="12" spans="1:9" x14ac:dyDescent="0.35">
      <c r="H12" s="7">
        <v>138700</v>
      </c>
    </row>
    <row r="13" spans="1:9" x14ac:dyDescent="0.35">
      <c r="H13" s="7">
        <f>H12-H11</f>
        <v>-550.20999999999185</v>
      </c>
    </row>
  </sheetData>
  <mergeCells count="2">
    <mergeCell ref="A4:A5"/>
    <mergeCell ref="A7:A8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9"/>
  <sheetViews>
    <sheetView workbookViewId="0">
      <selection activeCell="A14" sqref="A14"/>
    </sheetView>
  </sheetViews>
  <sheetFormatPr defaultRowHeight="14.4" x14ac:dyDescent="0.3"/>
  <cols>
    <col min="1" max="1" width="43.5546875" customWidth="1"/>
    <col min="2" max="2" width="21.109375" customWidth="1"/>
    <col min="3" max="3" width="20" customWidth="1"/>
    <col min="4" max="4" width="17.88671875" customWidth="1"/>
  </cols>
  <sheetData>
    <row r="3" spans="1:4" ht="89.25" customHeight="1" x14ac:dyDescent="0.3">
      <c r="A3" s="22" t="s">
        <v>6</v>
      </c>
      <c r="B3" s="22" t="s">
        <v>65</v>
      </c>
      <c r="C3" s="20" t="s">
        <v>61</v>
      </c>
      <c r="D3" s="20" t="s">
        <v>64</v>
      </c>
    </row>
    <row r="4" spans="1:4" ht="78" x14ac:dyDescent="0.3">
      <c r="A4" s="21" t="s">
        <v>51</v>
      </c>
      <c r="B4" s="16">
        <v>0</v>
      </c>
      <c r="C4" s="16">
        <v>198900</v>
      </c>
      <c r="D4" s="16">
        <f>B4+C4</f>
        <v>198900</v>
      </c>
    </row>
    <row r="5" spans="1:4" ht="31.2" x14ac:dyDescent="0.3">
      <c r="A5" s="21" t="s">
        <v>22</v>
      </c>
      <c r="B5" s="16">
        <v>105000</v>
      </c>
      <c r="C5" s="16">
        <v>6187.47</v>
      </c>
      <c r="D5" s="16">
        <f>B5+C5</f>
        <v>111187.47</v>
      </c>
    </row>
    <row r="6" spans="1:4" ht="46.8" x14ac:dyDescent="0.3">
      <c r="A6" s="21" t="s">
        <v>24</v>
      </c>
      <c r="B6" s="16">
        <v>66000</v>
      </c>
      <c r="C6" s="16">
        <v>288339.32</v>
      </c>
      <c r="D6" s="16">
        <f>B6+C6</f>
        <v>354339.32</v>
      </c>
    </row>
    <row r="7" spans="1:4" ht="62.4" x14ac:dyDescent="0.3">
      <c r="A7" s="21" t="s">
        <v>62</v>
      </c>
      <c r="B7" s="16">
        <v>0</v>
      </c>
      <c r="C7" s="16">
        <v>245300</v>
      </c>
      <c r="D7" s="16">
        <f>B7+C7</f>
        <v>245300</v>
      </c>
    </row>
    <row r="8" spans="1:4" ht="34.5" customHeight="1" x14ac:dyDescent="0.3">
      <c r="A8" s="21" t="s">
        <v>28</v>
      </c>
      <c r="B8" s="16">
        <v>4241950.8499999996</v>
      </c>
      <c r="C8" s="16">
        <v>-738726.79</v>
      </c>
      <c r="D8" s="22" t="s">
        <v>63</v>
      </c>
    </row>
    <row r="9" spans="1:4" ht="15.6" x14ac:dyDescent="0.3">
      <c r="A9" s="21" t="s">
        <v>66</v>
      </c>
      <c r="B9" s="23"/>
      <c r="C9" s="24">
        <f>SUM(C4:C8)</f>
        <v>0</v>
      </c>
      <c r="D9" s="23"/>
    </row>
  </sheetData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topLeftCell="A44" workbookViewId="0">
      <selection activeCell="D53" sqref="D53"/>
    </sheetView>
  </sheetViews>
  <sheetFormatPr defaultColWidth="9.109375" defaultRowHeight="14.4" x14ac:dyDescent="0.3"/>
  <cols>
    <col min="1" max="1" width="5.6640625" style="5" customWidth="1"/>
    <col min="2" max="2" width="16.44140625" style="5" customWidth="1"/>
    <col min="3" max="3" width="46.5546875" style="5" customWidth="1"/>
    <col min="4" max="4" width="15" style="5" customWidth="1"/>
    <col min="5" max="5" width="15" style="28" customWidth="1"/>
    <col min="6" max="6" width="15" style="27" customWidth="1"/>
    <col min="7" max="7" width="15.6640625" style="28" customWidth="1"/>
    <col min="8" max="8" width="19.6640625" style="28" customWidth="1"/>
    <col min="9" max="9" width="16.109375" style="28" customWidth="1"/>
    <col min="10" max="10" width="13.109375" style="28" bestFit="1" customWidth="1"/>
    <col min="11" max="16384" width="9.109375" style="5"/>
  </cols>
  <sheetData>
    <row r="1" spans="1:10" ht="18.75" hidden="1" customHeight="1" x14ac:dyDescent="0.35">
      <c r="D1" s="266" t="s">
        <v>0</v>
      </c>
      <c r="E1" s="266"/>
      <c r="F1" s="266"/>
      <c r="G1" s="266"/>
      <c r="H1" s="266"/>
    </row>
    <row r="2" spans="1:10" ht="15" hidden="1" customHeight="1" x14ac:dyDescent="0.35">
      <c r="D2" s="266" t="s">
        <v>1</v>
      </c>
      <c r="E2" s="266"/>
      <c r="F2" s="266"/>
      <c r="G2" s="266"/>
      <c r="H2" s="266"/>
    </row>
    <row r="3" spans="1:10" ht="15" hidden="1" customHeight="1" x14ac:dyDescent="0.35">
      <c r="D3" s="266" t="s">
        <v>2</v>
      </c>
      <c r="E3" s="266"/>
      <c r="F3" s="266"/>
      <c r="G3" s="266"/>
      <c r="H3" s="266"/>
    </row>
    <row r="4" spans="1:10" ht="15" hidden="1" customHeight="1" x14ac:dyDescent="0.35">
      <c r="D4" s="266" t="s">
        <v>3</v>
      </c>
      <c r="E4" s="266"/>
      <c r="F4" s="266"/>
      <c r="G4" s="266"/>
      <c r="H4" s="266"/>
    </row>
    <row r="5" spans="1:10" ht="22.5" hidden="1" customHeight="1" x14ac:dyDescent="0.35">
      <c r="D5" s="266" t="s">
        <v>37</v>
      </c>
      <c r="E5" s="266"/>
      <c r="F5" s="266"/>
      <c r="G5" s="266"/>
      <c r="H5" s="266"/>
    </row>
    <row r="6" spans="1:10" ht="18.75" hidden="1" customHeight="1" x14ac:dyDescent="0.35">
      <c r="A6" s="6"/>
    </row>
    <row r="7" spans="1:10" ht="18.75" hidden="1" customHeight="1" x14ac:dyDescent="0.35">
      <c r="A7" s="7"/>
    </row>
    <row r="8" spans="1:10" ht="78.75" customHeight="1" x14ac:dyDescent="0.35">
      <c r="A8" s="270" t="s">
        <v>38</v>
      </c>
      <c r="B8" s="270"/>
      <c r="C8" s="270"/>
      <c r="D8" s="270"/>
      <c r="E8" s="270"/>
      <c r="F8" s="270"/>
      <c r="G8" s="270"/>
      <c r="H8" s="270"/>
    </row>
    <row r="9" spans="1:10" ht="18" x14ac:dyDescent="0.35">
      <c r="A9" s="271"/>
      <c r="B9" s="271"/>
      <c r="C9" s="271"/>
      <c r="D9" s="271"/>
      <c r="E9" s="271"/>
      <c r="F9" s="271"/>
      <c r="G9" s="271"/>
      <c r="H9" s="271"/>
    </row>
    <row r="10" spans="1:10" ht="32.25" customHeight="1" x14ac:dyDescent="0.3">
      <c r="A10" s="274" t="s">
        <v>4</v>
      </c>
      <c r="B10" s="275" t="s">
        <v>5</v>
      </c>
      <c r="C10" s="277" t="s">
        <v>6</v>
      </c>
      <c r="D10" s="279" t="s">
        <v>77</v>
      </c>
      <c r="E10" s="279"/>
      <c r="F10" s="29"/>
      <c r="G10" s="280" t="s">
        <v>78</v>
      </c>
      <c r="H10" s="272" t="s">
        <v>79</v>
      </c>
      <c r="I10" s="273"/>
      <c r="J10" s="31"/>
    </row>
    <row r="11" spans="1:10" ht="58.5" customHeight="1" x14ac:dyDescent="0.3">
      <c r="A11" s="271"/>
      <c r="B11" s="276"/>
      <c r="C11" s="278"/>
      <c r="D11" s="8" t="s">
        <v>73</v>
      </c>
      <c r="E11" s="56" t="s">
        <v>69</v>
      </c>
      <c r="F11" s="32" t="s">
        <v>34</v>
      </c>
      <c r="G11" s="281"/>
      <c r="H11" s="33" t="s">
        <v>80</v>
      </c>
      <c r="I11" s="34" t="s">
        <v>69</v>
      </c>
      <c r="J11" s="39" t="s">
        <v>34</v>
      </c>
    </row>
    <row r="12" spans="1:10" ht="93.75" customHeight="1" x14ac:dyDescent="0.3">
      <c r="A12" s="65">
        <v>1</v>
      </c>
      <c r="B12" s="63" t="s">
        <v>7</v>
      </c>
      <c r="C12" s="9" t="s">
        <v>8</v>
      </c>
      <c r="D12" s="1">
        <v>689021.22</v>
      </c>
      <c r="E12" s="36">
        <f ca="1">E12:E65</f>
        <v>0</v>
      </c>
      <c r="F12" s="35">
        <f>D12</f>
        <v>689021.22</v>
      </c>
      <c r="G12" s="36"/>
      <c r="H12" s="36"/>
      <c r="I12" s="31"/>
      <c r="J12" s="31"/>
    </row>
    <row r="13" spans="1:10" ht="93.6" x14ac:dyDescent="0.3">
      <c r="A13" s="66"/>
      <c r="B13" s="64"/>
      <c r="C13" s="9" t="s">
        <v>9</v>
      </c>
      <c r="D13" s="1">
        <v>1116156.43</v>
      </c>
      <c r="E13" s="36"/>
      <c r="F13" s="35">
        <f t="shared" ref="F13:F20" si="0">D13</f>
        <v>1116156.43</v>
      </c>
      <c r="G13" s="36"/>
      <c r="H13" s="36"/>
      <c r="I13" s="31"/>
      <c r="J13" s="31"/>
    </row>
    <row r="14" spans="1:10" ht="78" x14ac:dyDescent="0.3">
      <c r="A14" s="66"/>
      <c r="B14" s="64"/>
      <c r="C14" s="9" t="s">
        <v>10</v>
      </c>
      <c r="D14" s="1">
        <v>160444.31</v>
      </c>
      <c r="E14" s="36"/>
      <c r="F14" s="35">
        <f t="shared" si="0"/>
        <v>160444.31</v>
      </c>
      <c r="G14" s="36"/>
      <c r="H14" s="36"/>
      <c r="I14" s="31"/>
      <c r="J14" s="31"/>
    </row>
    <row r="15" spans="1:10" ht="93.6" x14ac:dyDescent="0.3">
      <c r="A15" s="66"/>
      <c r="B15" s="64"/>
      <c r="C15" s="9" t="s">
        <v>11</v>
      </c>
      <c r="D15" s="1">
        <v>207475.77</v>
      </c>
      <c r="E15" s="36"/>
      <c r="F15" s="35">
        <f t="shared" si="0"/>
        <v>207475.77</v>
      </c>
      <c r="G15" s="36"/>
      <c r="H15" s="36"/>
      <c r="I15" s="31"/>
      <c r="J15" s="31"/>
    </row>
    <row r="16" spans="1:10" ht="93.6" x14ac:dyDescent="0.3">
      <c r="A16" s="66"/>
      <c r="B16" s="64"/>
      <c r="C16" s="9" t="s">
        <v>12</v>
      </c>
      <c r="D16" s="1">
        <v>684602.27</v>
      </c>
      <c r="E16" s="36"/>
      <c r="F16" s="35">
        <f t="shared" si="0"/>
        <v>684602.27</v>
      </c>
      <c r="G16" s="36"/>
      <c r="H16" s="36"/>
      <c r="I16" s="31"/>
      <c r="J16" s="31"/>
    </row>
    <row r="17" spans="1:10" ht="78" x14ac:dyDescent="0.3">
      <c r="A17" s="66"/>
      <c r="B17" s="64"/>
      <c r="C17" s="9" t="s">
        <v>13</v>
      </c>
      <c r="D17" s="1">
        <v>115200</v>
      </c>
      <c r="E17" s="36"/>
      <c r="F17" s="35">
        <f t="shared" si="0"/>
        <v>115200</v>
      </c>
      <c r="G17" s="36"/>
      <c r="H17" s="36"/>
      <c r="I17" s="31"/>
      <c r="J17" s="31"/>
    </row>
    <row r="18" spans="1:10" ht="78" x14ac:dyDescent="0.3">
      <c r="A18" s="66"/>
      <c r="B18" s="64"/>
      <c r="C18" s="9" t="s">
        <v>14</v>
      </c>
      <c r="D18" s="1">
        <v>70000</v>
      </c>
      <c r="E18" s="36"/>
      <c r="F18" s="35">
        <f t="shared" si="0"/>
        <v>70000</v>
      </c>
      <c r="G18" s="36"/>
      <c r="H18" s="36"/>
      <c r="I18" s="31"/>
      <c r="J18" s="31"/>
    </row>
    <row r="19" spans="1:10" ht="62.4" x14ac:dyDescent="0.3">
      <c r="A19" s="66"/>
      <c r="B19" s="64"/>
      <c r="C19" s="9" t="s">
        <v>15</v>
      </c>
      <c r="D19" s="1">
        <v>400000</v>
      </c>
      <c r="E19" s="36"/>
      <c r="F19" s="35">
        <f t="shared" si="0"/>
        <v>400000</v>
      </c>
      <c r="G19" s="36"/>
      <c r="H19" s="36"/>
      <c r="I19" s="31"/>
      <c r="J19" s="31"/>
    </row>
    <row r="20" spans="1:10" ht="63" customHeight="1" x14ac:dyDescent="0.3">
      <c r="A20" s="66"/>
      <c r="B20" s="64"/>
      <c r="C20" s="9" t="s">
        <v>35</v>
      </c>
      <c r="D20" s="1">
        <v>1000000</v>
      </c>
      <c r="E20" s="36"/>
      <c r="F20" s="35">
        <f t="shared" si="0"/>
        <v>1000000</v>
      </c>
      <c r="G20" s="36"/>
      <c r="H20" s="36"/>
      <c r="I20" s="31"/>
      <c r="J20" s="31"/>
    </row>
    <row r="21" spans="1:10" ht="63" customHeight="1" x14ac:dyDescent="0.3">
      <c r="A21" s="66"/>
      <c r="B21" s="64"/>
      <c r="C21" s="9" t="s">
        <v>88</v>
      </c>
      <c r="D21" s="1"/>
      <c r="E21" s="36">
        <v>111500</v>
      </c>
      <c r="F21" s="37">
        <f>E21</f>
        <v>111500</v>
      </c>
      <c r="G21" s="36"/>
      <c r="H21" s="36"/>
      <c r="I21" s="31"/>
      <c r="J21" s="31"/>
    </row>
    <row r="22" spans="1:10" ht="38.25" customHeight="1" x14ac:dyDescent="0.3">
      <c r="A22" s="66"/>
      <c r="B22" s="64"/>
      <c r="C22" s="9" t="s">
        <v>89</v>
      </c>
      <c r="D22" s="1"/>
      <c r="E22" s="36">
        <v>635400</v>
      </c>
      <c r="F22" s="37">
        <f>E22</f>
        <v>635400</v>
      </c>
      <c r="G22" s="36"/>
      <c r="H22" s="36"/>
      <c r="I22" s="31"/>
      <c r="J22" s="31"/>
    </row>
    <row r="23" spans="1:10" ht="62.4" x14ac:dyDescent="0.3">
      <c r="A23" s="66"/>
      <c r="B23" s="64"/>
      <c r="C23" s="9" t="s">
        <v>16</v>
      </c>
      <c r="D23" s="2">
        <f>SUM(D24:D40)</f>
        <v>71866799.999999985</v>
      </c>
      <c r="E23" s="40">
        <f>SUM(E24:E38)</f>
        <v>0</v>
      </c>
      <c r="F23" s="38">
        <f>SUM(F24:F40)</f>
        <v>84350150</v>
      </c>
      <c r="G23" s="36"/>
      <c r="H23" s="36"/>
      <c r="I23" s="31"/>
      <c r="J23" s="31"/>
    </row>
    <row r="24" spans="1:10" ht="46.8" x14ac:dyDescent="0.3">
      <c r="A24" s="66"/>
      <c r="B24" s="64"/>
      <c r="C24" s="9" t="s">
        <v>17</v>
      </c>
      <c r="D24" s="1">
        <v>14827000</v>
      </c>
      <c r="E24" s="36"/>
      <c r="F24" s="37">
        <f>D24</f>
        <v>14827000</v>
      </c>
      <c r="G24" s="36"/>
      <c r="H24" s="36"/>
      <c r="I24" s="31"/>
      <c r="J24" s="31"/>
    </row>
    <row r="25" spans="1:10" ht="31.2" x14ac:dyDescent="0.3">
      <c r="A25" s="66"/>
      <c r="B25" s="64"/>
      <c r="C25" s="9" t="s">
        <v>18</v>
      </c>
      <c r="D25" s="1">
        <v>843000</v>
      </c>
      <c r="E25" s="36"/>
      <c r="F25" s="37">
        <f t="shared" ref="F25:F43" si="1">D25</f>
        <v>843000</v>
      </c>
      <c r="G25" s="36"/>
      <c r="H25" s="36"/>
      <c r="I25" s="31"/>
      <c r="J25" s="31"/>
    </row>
    <row r="26" spans="1:10" ht="46.8" x14ac:dyDescent="0.3">
      <c r="A26" s="66"/>
      <c r="B26" s="64"/>
      <c r="C26" s="9" t="s">
        <v>19</v>
      </c>
      <c r="D26" s="1">
        <v>9578000</v>
      </c>
      <c r="E26" s="36"/>
      <c r="F26" s="37">
        <f t="shared" si="1"/>
        <v>9578000</v>
      </c>
      <c r="G26" s="36"/>
      <c r="H26" s="36"/>
      <c r="I26" s="31"/>
      <c r="J26" s="31"/>
    </row>
    <row r="27" spans="1:10" ht="46.8" x14ac:dyDescent="0.3">
      <c r="A27" s="66"/>
      <c r="B27" s="64"/>
      <c r="C27" s="9" t="s">
        <v>20</v>
      </c>
      <c r="D27" s="1">
        <v>21743179.129999999</v>
      </c>
      <c r="E27" s="36"/>
      <c r="F27" s="37">
        <f>D27-12038150</f>
        <v>9705029.129999999</v>
      </c>
      <c r="G27" s="36"/>
      <c r="H27" s="36"/>
      <c r="I27" s="31"/>
      <c r="J27" s="31"/>
    </row>
    <row r="28" spans="1:10" ht="31.2" x14ac:dyDescent="0.3">
      <c r="A28" s="66"/>
      <c r="B28" s="64"/>
      <c r="C28" s="9" t="s">
        <v>21</v>
      </c>
      <c r="D28" s="1">
        <v>7517000</v>
      </c>
      <c r="E28" s="36"/>
      <c r="F28" s="37">
        <f t="shared" si="1"/>
        <v>7517000</v>
      </c>
      <c r="G28" s="36"/>
      <c r="H28" s="36"/>
      <c r="I28" s="31"/>
      <c r="J28" s="31"/>
    </row>
    <row r="29" spans="1:10" ht="31.2" x14ac:dyDescent="0.3">
      <c r="A29" s="66"/>
      <c r="B29" s="64"/>
      <c r="C29" s="9" t="s">
        <v>22</v>
      </c>
      <c r="D29" s="1">
        <f>105000+6187.47</f>
        <v>111187.47</v>
      </c>
      <c r="E29" s="36"/>
      <c r="F29" s="37">
        <f t="shared" si="1"/>
        <v>111187.47</v>
      </c>
      <c r="G29" s="36"/>
      <c r="H29" s="36"/>
      <c r="I29" s="31"/>
      <c r="J29" s="31"/>
    </row>
    <row r="30" spans="1:10" ht="15.6" x14ac:dyDescent="0.3">
      <c r="A30" s="66"/>
      <c r="B30" s="64"/>
      <c r="C30" s="9" t="s">
        <v>23</v>
      </c>
      <c r="D30" s="1">
        <v>2133000</v>
      </c>
      <c r="E30" s="36"/>
      <c r="F30" s="37">
        <f t="shared" si="1"/>
        <v>2133000</v>
      </c>
      <c r="G30" s="36"/>
      <c r="H30" s="36"/>
      <c r="I30" s="31"/>
      <c r="J30" s="31"/>
    </row>
    <row r="31" spans="1:10" ht="31.2" x14ac:dyDescent="0.3">
      <c r="A31" s="66"/>
      <c r="B31" s="64"/>
      <c r="C31" s="9" t="s">
        <v>24</v>
      </c>
      <c r="D31" s="1">
        <f>66000+288339.32</f>
        <v>354339.32</v>
      </c>
      <c r="E31" s="36"/>
      <c r="F31" s="37">
        <f t="shared" si="1"/>
        <v>354339.32</v>
      </c>
      <c r="G31" s="36"/>
      <c r="H31" s="36"/>
      <c r="I31" s="31"/>
      <c r="J31" s="31"/>
    </row>
    <row r="32" spans="1:10" ht="31.2" x14ac:dyDescent="0.3">
      <c r="A32" s="66"/>
      <c r="B32" s="64"/>
      <c r="C32" s="9" t="s">
        <v>25</v>
      </c>
      <c r="D32" s="1">
        <v>1538000</v>
      </c>
      <c r="E32" s="36"/>
      <c r="F32" s="37">
        <f t="shared" si="1"/>
        <v>1538000</v>
      </c>
      <c r="G32" s="36"/>
      <c r="H32" s="36"/>
      <c r="I32" s="31"/>
      <c r="J32" s="31"/>
    </row>
    <row r="33" spans="1:10" ht="31.2" x14ac:dyDescent="0.3">
      <c r="A33" s="66"/>
      <c r="B33" s="64"/>
      <c r="C33" s="9" t="s">
        <v>26</v>
      </c>
      <c r="D33" s="1">
        <v>6667000</v>
      </c>
      <c r="E33" s="36"/>
      <c r="F33" s="37">
        <f t="shared" si="1"/>
        <v>6667000</v>
      </c>
      <c r="G33" s="36"/>
      <c r="H33" s="36"/>
      <c r="I33" s="31"/>
      <c r="J33" s="31"/>
    </row>
    <row r="34" spans="1:10" ht="31.2" x14ac:dyDescent="0.3">
      <c r="A34" s="66"/>
      <c r="B34" s="64"/>
      <c r="C34" s="9" t="s">
        <v>27</v>
      </c>
      <c r="D34" s="1">
        <v>2224000</v>
      </c>
      <c r="E34" s="36"/>
      <c r="F34" s="37">
        <f t="shared" si="1"/>
        <v>2224000</v>
      </c>
      <c r="G34" s="36"/>
      <c r="H34" s="36"/>
      <c r="I34" s="31"/>
      <c r="J34" s="31"/>
    </row>
    <row r="35" spans="1:10" ht="156" x14ac:dyDescent="0.3">
      <c r="A35" s="66"/>
      <c r="B35" s="64"/>
      <c r="C35" s="9" t="s">
        <v>52</v>
      </c>
      <c r="D35" s="1">
        <v>383670.02</v>
      </c>
      <c r="E35" s="36"/>
      <c r="F35" s="37">
        <f t="shared" si="1"/>
        <v>383670.02</v>
      </c>
      <c r="G35" s="36"/>
      <c r="H35" s="36"/>
      <c r="I35" s="31"/>
      <c r="J35" s="31"/>
    </row>
    <row r="36" spans="1:10" ht="31.2" x14ac:dyDescent="0.3">
      <c r="A36" s="66"/>
      <c r="B36" s="64"/>
      <c r="C36" s="9" t="s">
        <v>28</v>
      </c>
      <c r="D36" s="1">
        <f>4625620.87-198900-6187.47-288339.32-245300-383670.02</f>
        <v>3503224.0600000005</v>
      </c>
      <c r="E36" s="36"/>
      <c r="F36" s="37">
        <f t="shared" si="1"/>
        <v>3503224.0600000005</v>
      </c>
      <c r="G36" s="36"/>
      <c r="H36" s="36"/>
      <c r="I36" s="31"/>
      <c r="J36" s="31"/>
    </row>
    <row r="37" spans="1:10" ht="78" x14ac:dyDescent="0.3">
      <c r="A37" s="66"/>
      <c r="B37" s="64"/>
      <c r="C37" s="14" t="s">
        <v>51</v>
      </c>
      <c r="D37" s="1">
        <v>198900</v>
      </c>
      <c r="E37" s="36"/>
      <c r="F37" s="37">
        <f t="shared" si="1"/>
        <v>198900</v>
      </c>
      <c r="G37" s="36"/>
      <c r="H37" s="36"/>
      <c r="I37" s="31"/>
      <c r="J37" s="31"/>
    </row>
    <row r="38" spans="1:10" ht="62.4" x14ac:dyDescent="0.3">
      <c r="A38" s="66"/>
      <c r="B38" s="64"/>
      <c r="C38" s="14" t="s">
        <v>50</v>
      </c>
      <c r="D38" s="1">
        <v>245300</v>
      </c>
      <c r="E38" s="36"/>
      <c r="F38" s="37">
        <f t="shared" si="1"/>
        <v>245300</v>
      </c>
      <c r="G38" s="36"/>
      <c r="H38" s="36"/>
      <c r="I38" s="31"/>
      <c r="J38" s="31"/>
    </row>
    <row r="39" spans="1:10" ht="93.6" x14ac:dyDescent="0.3">
      <c r="A39" s="66"/>
      <c r="B39" s="64"/>
      <c r="C39" s="69" t="s">
        <v>101</v>
      </c>
      <c r="D39" s="1"/>
      <c r="E39" s="36">
        <v>15121500</v>
      </c>
      <c r="F39" s="37">
        <f>E39</f>
        <v>15121500</v>
      </c>
      <c r="G39" s="36"/>
      <c r="H39" s="36"/>
      <c r="I39" s="31"/>
      <c r="J39" s="31"/>
    </row>
    <row r="40" spans="1:10" ht="62.4" x14ac:dyDescent="0.3">
      <c r="A40" s="66"/>
      <c r="B40" s="64"/>
      <c r="C40" s="69" t="s">
        <v>102</v>
      </c>
      <c r="D40" s="1"/>
      <c r="E40" s="36">
        <v>9400000</v>
      </c>
      <c r="F40" s="37">
        <f>E40</f>
        <v>9400000</v>
      </c>
      <c r="G40" s="36"/>
      <c r="H40" s="36">
        <v>9400000</v>
      </c>
      <c r="I40" s="39">
        <v>-9400000</v>
      </c>
      <c r="J40" s="39">
        <v>0</v>
      </c>
    </row>
    <row r="41" spans="1:10" ht="109.2" x14ac:dyDescent="0.3">
      <c r="A41" s="66"/>
      <c r="B41" s="64"/>
      <c r="C41" s="9" t="s">
        <v>39</v>
      </c>
      <c r="D41" s="17">
        <v>238500</v>
      </c>
      <c r="E41" s="58"/>
      <c r="F41" s="37">
        <f t="shared" si="1"/>
        <v>238500</v>
      </c>
      <c r="G41" s="36"/>
      <c r="H41" s="36"/>
      <c r="I41" s="31"/>
      <c r="J41" s="31"/>
    </row>
    <row r="42" spans="1:10" ht="124.8" x14ac:dyDescent="0.3">
      <c r="A42" s="66"/>
      <c r="B42" s="64"/>
      <c r="C42" s="9" t="s">
        <v>29</v>
      </c>
      <c r="D42" s="1">
        <v>82000</v>
      </c>
      <c r="E42" s="36"/>
      <c r="F42" s="37">
        <f t="shared" si="1"/>
        <v>82000</v>
      </c>
      <c r="G42" s="36"/>
      <c r="H42" s="36"/>
      <c r="I42" s="31"/>
      <c r="J42" s="31"/>
    </row>
    <row r="43" spans="1:10" ht="124.8" x14ac:dyDescent="0.3">
      <c r="A43" s="66"/>
      <c r="B43" s="64"/>
      <c r="C43" s="9" t="s">
        <v>36</v>
      </c>
      <c r="D43" s="1">
        <v>1600000</v>
      </c>
      <c r="E43" s="36"/>
      <c r="F43" s="37">
        <f t="shared" si="1"/>
        <v>1600000</v>
      </c>
      <c r="G43" s="36"/>
      <c r="H43" s="36"/>
      <c r="I43" s="31"/>
      <c r="J43" s="31"/>
    </row>
    <row r="44" spans="1:10" s="28" customFormat="1" ht="31.5" customHeight="1" x14ac:dyDescent="0.3">
      <c r="A44" s="68"/>
      <c r="B44" s="67"/>
      <c r="C44" s="57" t="s">
        <v>103</v>
      </c>
      <c r="D44" s="36"/>
      <c r="E44" s="36"/>
      <c r="F44" s="37"/>
      <c r="G44" s="36"/>
      <c r="H44" s="36"/>
      <c r="I44" s="39">
        <v>145500</v>
      </c>
      <c r="J44" s="39">
        <f>I44</f>
        <v>145500</v>
      </c>
    </row>
    <row r="45" spans="1:10" ht="67.5" customHeight="1" x14ac:dyDescent="0.3">
      <c r="A45" s="291" t="s">
        <v>56</v>
      </c>
      <c r="B45" s="292"/>
      <c r="C45" s="293"/>
      <c r="D45" s="2">
        <f>SUM(D12:D44)-D23</f>
        <v>78230199.999999985</v>
      </c>
      <c r="E45" s="40">
        <f>E40+E39+E22+E21</f>
        <v>25268400</v>
      </c>
      <c r="F45" s="38">
        <f>F12+F13+F14+F15+F16+F17+F18+F19+F20+F21+F22+F24+F25+F26+F27+F28+F29+F30+F31+F32+F33+F34+F35+F36+F37+F38+F41+F42+F43+F39+F40</f>
        <v>91460450</v>
      </c>
      <c r="G45" s="40">
        <f>G43+G42+G41+G23+G20+G19+G18+G17+G16+G15+G14+G13+G12</f>
        <v>0</v>
      </c>
      <c r="H45" s="40">
        <f>H40</f>
        <v>9400000</v>
      </c>
      <c r="I45" s="40">
        <f>I44+I40</f>
        <v>-9254500</v>
      </c>
      <c r="J45" s="40">
        <f>J44+J40</f>
        <v>145500</v>
      </c>
    </row>
    <row r="46" spans="1:10" ht="63" customHeight="1" x14ac:dyDescent="0.3">
      <c r="A46" s="282">
        <v>2</v>
      </c>
      <c r="B46" s="300" t="s">
        <v>30</v>
      </c>
      <c r="C46" s="10" t="s">
        <v>49</v>
      </c>
      <c r="D46" s="12">
        <v>0</v>
      </c>
      <c r="E46" s="43"/>
      <c r="F46" s="41"/>
      <c r="G46" s="42">
        <v>252352</v>
      </c>
      <c r="H46" s="43"/>
      <c r="I46" s="31"/>
      <c r="J46" s="31"/>
    </row>
    <row r="47" spans="1:10" ht="46.8" x14ac:dyDescent="0.3">
      <c r="A47" s="283"/>
      <c r="B47" s="301"/>
      <c r="C47" s="10" t="s">
        <v>42</v>
      </c>
      <c r="D47" s="18">
        <v>454613.06</v>
      </c>
      <c r="E47" s="42"/>
      <c r="F47" s="44">
        <f>D47</f>
        <v>454613.06</v>
      </c>
      <c r="G47" s="42"/>
      <c r="H47" s="42"/>
      <c r="I47" s="31"/>
      <c r="J47" s="31"/>
    </row>
    <row r="48" spans="1:10" ht="62.4" x14ac:dyDescent="0.3">
      <c r="A48" s="283"/>
      <c r="B48" s="301"/>
      <c r="C48" s="10" t="s">
        <v>43</v>
      </c>
      <c r="D48" s="18">
        <f>588000+830832.72</f>
        <v>1418832.72</v>
      </c>
      <c r="E48" s="42">
        <f>1200000+830900</f>
        <v>2030900</v>
      </c>
      <c r="F48" s="44">
        <f>E48+588000</f>
        <v>2618900</v>
      </c>
      <c r="G48" s="42"/>
      <c r="H48" s="42"/>
      <c r="I48" s="31"/>
      <c r="J48" s="31"/>
    </row>
    <row r="49" spans="1:10" ht="46.8" x14ac:dyDescent="0.3">
      <c r="A49" s="283"/>
      <c r="B49" s="301"/>
      <c r="C49" s="10" t="s">
        <v>44</v>
      </c>
      <c r="D49" s="4">
        <v>0</v>
      </c>
      <c r="E49" s="42"/>
      <c r="F49" s="44"/>
      <c r="G49" s="42"/>
      <c r="H49" s="42">
        <v>1688400</v>
      </c>
      <c r="I49" s="31"/>
      <c r="J49" s="39">
        <f>H49</f>
        <v>1688400</v>
      </c>
    </row>
    <row r="50" spans="1:10" ht="46.8" x14ac:dyDescent="0.3">
      <c r="A50" s="283"/>
      <c r="B50" s="301"/>
      <c r="C50" s="10" t="s">
        <v>45</v>
      </c>
      <c r="D50" s="4">
        <v>396400</v>
      </c>
      <c r="E50" s="42"/>
      <c r="F50" s="44">
        <f>D50</f>
        <v>396400</v>
      </c>
      <c r="G50" s="42"/>
      <c r="H50" s="42"/>
      <c r="I50" s="31"/>
      <c r="J50" s="31"/>
    </row>
    <row r="51" spans="1:10" ht="78" x14ac:dyDescent="0.3">
      <c r="A51" s="283"/>
      <c r="B51" s="302"/>
      <c r="C51" s="10" t="s">
        <v>31</v>
      </c>
      <c r="D51" s="4">
        <v>9800</v>
      </c>
      <c r="E51" s="42"/>
      <c r="F51" s="44">
        <f>D51</f>
        <v>9800</v>
      </c>
      <c r="G51" s="42"/>
      <c r="H51" s="42"/>
      <c r="I51" s="31"/>
      <c r="J51" s="31"/>
    </row>
    <row r="52" spans="1:10" ht="31.2" x14ac:dyDescent="0.3">
      <c r="A52" s="284"/>
      <c r="B52" s="4"/>
      <c r="C52" s="10" t="s">
        <v>90</v>
      </c>
      <c r="D52" s="4"/>
      <c r="E52" s="42">
        <v>240000</v>
      </c>
      <c r="F52" s="44">
        <f>E52</f>
        <v>240000</v>
      </c>
      <c r="G52" s="42"/>
      <c r="H52" s="42"/>
      <c r="I52" s="31"/>
      <c r="J52" s="31"/>
    </row>
    <row r="53" spans="1:10" ht="62.4" x14ac:dyDescent="0.3">
      <c r="A53" s="284"/>
      <c r="B53" s="4"/>
      <c r="C53" s="10" t="s">
        <v>105</v>
      </c>
      <c r="D53" s="4"/>
      <c r="E53" s="42">
        <v>12579.51</v>
      </c>
      <c r="F53" s="44">
        <f>E53</f>
        <v>12579.51</v>
      </c>
      <c r="G53" s="42"/>
      <c r="H53" s="42"/>
      <c r="I53" s="31"/>
      <c r="J53" s="31"/>
    </row>
    <row r="54" spans="1:10" ht="31.2" x14ac:dyDescent="0.3">
      <c r="A54" s="285"/>
      <c r="B54" s="4"/>
      <c r="C54" s="74" t="s">
        <v>106</v>
      </c>
      <c r="D54" s="4"/>
      <c r="E54" s="42">
        <v>941020.49</v>
      </c>
      <c r="F54" s="44">
        <f>E54</f>
        <v>941020.49</v>
      </c>
      <c r="G54" s="42"/>
      <c r="H54" s="42"/>
      <c r="I54" s="31"/>
      <c r="J54" s="31"/>
    </row>
    <row r="55" spans="1:10" ht="31.5" customHeight="1" x14ac:dyDescent="0.3">
      <c r="A55" s="294" t="s">
        <v>57</v>
      </c>
      <c r="B55" s="295"/>
      <c r="C55" s="296"/>
      <c r="D55" s="11">
        <f>D51+D50+D49++D48+D47+D46</f>
        <v>2279645.7799999998</v>
      </c>
      <c r="E55" s="46">
        <f>E53+E52+E48+E54</f>
        <v>3224500</v>
      </c>
      <c r="F55" s="46">
        <f>F53+F52+F48+F54+F51+F50+F47</f>
        <v>4673313.0599999996</v>
      </c>
      <c r="G55" s="46">
        <f>SUM(G46:G51)</f>
        <v>252352</v>
      </c>
      <c r="H55" s="46">
        <f>SUM(H46:H51)</f>
        <v>1688400</v>
      </c>
      <c r="I55" s="46">
        <f>SUM(I46:I51)</f>
        <v>0</v>
      </c>
      <c r="J55" s="46">
        <f>SUM(J46:J51)</f>
        <v>1688400</v>
      </c>
    </row>
    <row r="56" spans="1:10" ht="112.5" customHeight="1" x14ac:dyDescent="0.3">
      <c r="A56" s="15" t="s">
        <v>53</v>
      </c>
      <c r="B56" s="4" t="s">
        <v>59</v>
      </c>
      <c r="C56" s="4" t="s">
        <v>75</v>
      </c>
      <c r="D56" s="4">
        <v>172478.65</v>
      </c>
      <c r="E56" s="42">
        <v>172500</v>
      </c>
      <c r="F56" s="44">
        <f>E56</f>
        <v>172500</v>
      </c>
      <c r="G56" s="42"/>
      <c r="H56" s="42"/>
      <c r="I56" s="31"/>
      <c r="J56" s="31"/>
    </row>
    <row r="57" spans="1:10" ht="74.25" customHeight="1" x14ac:dyDescent="0.3">
      <c r="A57" s="15"/>
      <c r="B57" s="4"/>
      <c r="C57" s="4" t="s">
        <v>104</v>
      </c>
      <c r="D57" s="4"/>
      <c r="E57" s="42">
        <f>101640-G57</f>
        <v>54040</v>
      </c>
      <c r="F57" s="44">
        <f>E57</f>
        <v>54040</v>
      </c>
      <c r="G57" s="42">
        <v>47600</v>
      </c>
      <c r="H57" s="5"/>
      <c r="I57" s="31"/>
      <c r="J57" s="31"/>
    </row>
    <row r="58" spans="1:10" s="28" customFormat="1" ht="61.5" customHeight="1" x14ac:dyDescent="0.3">
      <c r="A58" s="59"/>
      <c r="B58" s="42"/>
      <c r="C58" s="42" t="s">
        <v>76</v>
      </c>
      <c r="D58" s="42"/>
      <c r="E58" s="42"/>
      <c r="F58" s="44"/>
      <c r="G58" s="42"/>
      <c r="H58" s="42"/>
      <c r="I58" s="39">
        <v>54099</v>
      </c>
      <c r="J58" s="39">
        <f>I58</f>
        <v>54099</v>
      </c>
    </row>
    <row r="59" spans="1:10" s="28" customFormat="1" ht="31.5" customHeight="1" x14ac:dyDescent="0.3">
      <c r="A59" s="306" t="s">
        <v>60</v>
      </c>
      <c r="B59" s="307"/>
      <c r="C59" s="308"/>
      <c r="D59" s="40">
        <f>D56</f>
        <v>172478.65</v>
      </c>
      <c r="E59" s="40">
        <f>E57+E56</f>
        <v>226540</v>
      </c>
      <c r="F59" s="38">
        <f>F57+F56</f>
        <v>226540</v>
      </c>
      <c r="G59" s="40">
        <f>G57</f>
        <v>47600</v>
      </c>
      <c r="H59" s="40">
        <v>0</v>
      </c>
      <c r="I59" s="47">
        <f>I58</f>
        <v>54099</v>
      </c>
      <c r="J59" s="47">
        <f>J58</f>
        <v>54099</v>
      </c>
    </row>
    <row r="60" spans="1:10" s="28" customFormat="1" ht="126" customHeight="1" x14ac:dyDescent="0.3">
      <c r="A60" s="59" t="s">
        <v>58</v>
      </c>
      <c r="B60" s="42" t="s">
        <v>55</v>
      </c>
      <c r="C60" s="42" t="s">
        <v>54</v>
      </c>
      <c r="D60" s="42">
        <v>2513555.94</v>
      </c>
      <c r="E60" s="42">
        <v>2513600</v>
      </c>
      <c r="F60" s="44">
        <f>E60</f>
        <v>2513600</v>
      </c>
      <c r="G60" s="42"/>
      <c r="H60" s="42"/>
      <c r="I60" s="31"/>
      <c r="J60" s="31"/>
    </row>
    <row r="61" spans="1:10" ht="65.25" customHeight="1" x14ac:dyDescent="0.3">
      <c r="A61" s="291" t="s">
        <v>98</v>
      </c>
      <c r="B61" s="292"/>
      <c r="C61" s="293"/>
      <c r="D61" s="2">
        <f>D60</f>
        <v>2513555.94</v>
      </c>
      <c r="E61" s="40">
        <f>E60</f>
        <v>2513600</v>
      </c>
      <c r="F61" s="38">
        <f>F60</f>
        <v>2513600</v>
      </c>
      <c r="G61" s="40">
        <f>G60</f>
        <v>0</v>
      </c>
      <c r="H61" s="40">
        <f>H60</f>
        <v>0</v>
      </c>
      <c r="I61" s="31"/>
      <c r="J61" s="31"/>
    </row>
    <row r="62" spans="1:10" ht="31.5" customHeight="1" x14ac:dyDescent="0.3">
      <c r="A62" s="303">
        <v>3</v>
      </c>
      <c r="B62" s="300" t="s">
        <v>32</v>
      </c>
      <c r="C62" s="10" t="s">
        <v>67</v>
      </c>
      <c r="D62" s="18">
        <v>75451</v>
      </c>
      <c r="E62" s="42"/>
      <c r="F62" s="44">
        <f>D62</f>
        <v>75451</v>
      </c>
      <c r="G62" s="30"/>
      <c r="H62" s="30"/>
      <c r="I62" s="31"/>
      <c r="J62" s="31"/>
    </row>
    <row r="63" spans="1:10" ht="46.8" x14ac:dyDescent="0.3">
      <c r="A63" s="304"/>
      <c r="B63" s="301"/>
      <c r="C63" s="10" t="s">
        <v>68</v>
      </c>
      <c r="D63" s="18">
        <v>249492.38</v>
      </c>
      <c r="E63" s="42">
        <v>43897</v>
      </c>
      <c r="F63" s="44">
        <f>D63+E63</f>
        <v>293389.38</v>
      </c>
      <c r="G63" s="30"/>
      <c r="H63" s="30"/>
      <c r="I63" s="31"/>
      <c r="J63" s="31"/>
    </row>
    <row r="64" spans="1:10" ht="31.2" x14ac:dyDescent="0.3">
      <c r="A64" s="304"/>
      <c r="B64" s="301"/>
      <c r="C64" s="10" t="s">
        <v>85</v>
      </c>
      <c r="D64" s="18">
        <v>215000</v>
      </c>
      <c r="E64" s="42">
        <v>321398</v>
      </c>
      <c r="F64" s="44">
        <f>D64+E64</f>
        <v>536398</v>
      </c>
      <c r="G64" s="30"/>
      <c r="H64" s="30"/>
      <c r="I64" s="31"/>
      <c r="J64" s="31"/>
    </row>
    <row r="65" spans="1:10" ht="62.4" x14ac:dyDescent="0.3">
      <c r="A65" s="304"/>
      <c r="B65" s="301"/>
      <c r="C65" s="10" t="s">
        <v>46</v>
      </c>
      <c r="D65" s="18">
        <v>505000</v>
      </c>
      <c r="E65" s="42"/>
      <c r="F65" s="44">
        <f>D65</f>
        <v>505000</v>
      </c>
      <c r="G65" s="30"/>
      <c r="H65" s="30"/>
      <c r="I65" s="31"/>
      <c r="J65" s="31"/>
    </row>
    <row r="66" spans="1:10" ht="31.2" x14ac:dyDescent="0.3">
      <c r="A66" s="305"/>
      <c r="B66" s="302"/>
      <c r="C66" s="10" t="s">
        <v>47</v>
      </c>
      <c r="D66" s="18">
        <v>166900</v>
      </c>
      <c r="E66" s="42">
        <v>148885</v>
      </c>
      <c r="F66" s="44">
        <f>D66+E66</f>
        <v>315785</v>
      </c>
      <c r="G66" s="30"/>
      <c r="H66" s="30"/>
      <c r="I66" s="31"/>
      <c r="J66" s="31"/>
    </row>
    <row r="67" spans="1:10" ht="31.2" x14ac:dyDescent="0.3">
      <c r="A67" s="15"/>
      <c r="B67" s="4"/>
      <c r="C67" s="10" t="s">
        <v>86</v>
      </c>
      <c r="D67" s="18"/>
      <c r="E67" s="42">
        <v>655300</v>
      </c>
      <c r="F67" s="44">
        <f>E67</f>
        <v>655300</v>
      </c>
      <c r="G67" s="30"/>
      <c r="H67" s="30"/>
      <c r="I67" s="31"/>
      <c r="J67" s="31"/>
    </row>
    <row r="68" spans="1:10" ht="46.8" x14ac:dyDescent="0.3">
      <c r="A68" s="15"/>
      <c r="B68" s="4"/>
      <c r="C68" s="10" t="s">
        <v>87</v>
      </c>
      <c r="D68" s="18"/>
      <c r="E68" s="42">
        <v>700920</v>
      </c>
      <c r="F68" s="44">
        <f>E68</f>
        <v>700920</v>
      </c>
      <c r="G68" s="30"/>
      <c r="H68" s="30"/>
      <c r="I68" s="31"/>
      <c r="J68" s="31"/>
    </row>
    <row r="69" spans="1:10" ht="42.75" customHeight="1" x14ac:dyDescent="0.3">
      <c r="A69" s="15"/>
      <c r="B69" s="4"/>
      <c r="C69" s="26" t="s">
        <v>81</v>
      </c>
      <c r="D69" s="18"/>
      <c r="E69" s="42"/>
      <c r="F69" s="44"/>
      <c r="G69" s="30"/>
      <c r="H69" s="30"/>
      <c r="I69" s="39">
        <v>403700</v>
      </c>
      <c r="J69" s="39">
        <f>I69</f>
        <v>403700</v>
      </c>
    </row>
    <row r="70" spans="1:10" ht="54" customHeight="1" x14ac:dyDescent="0.3">
      <c r="A70" s="297" t="s">
        <v>40</v>
      </c>
      <c r="B70" s="298"/>
      <c r="C70" s="299"/>
      <c r="D70" s="3">
        <f>SUM(D62:D66)</f>
        <v>1211843.3799999999</v>
      </c>
      <c r="E70" s="46">
        <f>E68+E67+E66+E65+E64+E63+E62</f>
        <v>1870400</v>
      </c>
      <c r="F70" s="46">
        <f>F68+F67+F66+F65+F64+F63+F62</f>
        <v>3082243.38</v>
      </c>
      <c r="G70" s="46">
        <f>SUM(G62:G66)</f>
        <v>0</v>
      </c>
      <c r="H70" s="46">
        <f>SUM(H62:H66)</f>
        <v>0</v>
      </c>
      <c r="I70" s="47">
        <f>I69</f>
        <v>403700</v>
      </c>
      <c r="J70" s="47">
        <f>J69</f>
        <v>403700</v>
      </c>
    </row>
    <row r="71" spans="1:10" ht="126" customHeight="1" x14ac:dyDescent="0.3">
      <c r="A71" s="303">
        <v>4</v>
      </c>
      <c r="B71" s="300" t="s">
        <v>33</v>
      </c>
      <c r="C71" s="10" t="s">
        <v>93</v>
      </c>
      <c r="D71" s="17">
        <v>5910371.5599999996</v>
      </c>
      <c r="E71" s="51">
        <v>1390000</v>
      </c>
      <c r="F71" s="48">
        <f>D71+E71+31657</f>
        <v>7332028.5599999996</v>
      </c>
      <c r="G71" s="30"/>
      <c r="H71" s="30"/>
      <c r="I71" s="31"/>
      <c r="J71" s="31"/>
    </row>
    <row r="72" spans="1:10" ht="78" x14ac:dyDescent="0.3">
      <c r="A72" s="304"/>
      <c r="B72" s="301"/>
      <c r="C72" s="10" t="s">
        <v>48</v>
      </c>
      <c r="D72" s="4">
        <v>25000</v>
      </c>
      <c r="E72" s="42"/>
      <c r="F72" s="44">
        <f>D72</f>
        <v>25000</v>
      </c>
      <c r="G72" s="30"/>
      <c r="H72" s="30"/>
      <c r="I72" s="31"/>
      <c r="J72" s="31"/>
    </row>
    <row r="73" spans="1:10" ht="187.2" x14ac:dyDescent="0.3">
      <c r="A73" s="305"/>
      <c r="B73" s="302"/>
      <c r="C73" s="19" t="s">
        <v>99</v>
      </c>
      <c r="D73" s="4">
        <v>40000000</v>
      </c>
      <c r="E73" s="39">
        <f>-1290000-222162</f>
        <v>-1512162</v>
      </c>
      <c r="F73" s="49">
        <f>D73+E73</f>
        <v>38487838</v>
      </c>
      <c r="G73" s="30"/>
      <c r="H73" s="30"/>
      <c r="I73" s="31"/>
      <c r="J73" s="50"/>
    </row>
    <row r="74" spans="1:10" ht="187.2" x14ac:dyDescent="0.3">
      <c r="A74" s="15"/>
      <c r="B74" s="4"/>
      <c r="C74" s="19" t="s">
        <v>100</v>
      </c>
      <c r="D74" s="4">
        <v>705000</v>
      </c>
      <c r="E74" s="39"/>
      <c r="F74" s="49">
        <f>D74</f>
        <v>705000</v>
      </c>
      <c r="G74" s="30"/>
      <c r="H74" s="30"/>
      <c r="I74" s="31"/>
      <c r="J74" s="50"/>
    </row>
    <row r="75" spans="1:10" ht="140.4" x14ac:dyDescent="0.3">
      <c r="A75" s="15"/>
      <c r="B75" s="4"/>
      <c r="C75" s="19" t="s">
        <v>107</v>
      </c>
      <c r="D75" s="4"/>
      <c r="E75" s="39">
        <f>F75</f>
        <v>618451</v>
      </c>
      <c r="F75" s="49">
        <f>514805+103646</f>
        <v>618451</v>
      </c>
      <c r="G75" s="30"/>
      <c r="H75" s="30"/>
      <c r="I75" s="51">
        <f>J75</f>
        <v>244701</v>
      </c>
      <c r="J75" s="50">
        <v>244701</v>
      </c>
    </row>
    <row r="76" spans="1:10" ht="93.6" x14ac:dyDescent="0.3">
      <c r="A76" s="15"/>
      <c r="B76" s="4"/>
      <c r="C76" s="61" t="s">
        <v>108</v>
      </c>
      <c r="D76" s="4"/>
      <c r="E76" s="39">
        <f>F76</f>
        <v>31552</v>
      </c>
      <c r="F76" s="49">
        <v>31552</v>
      </c>
      <c r="G76" s="30"/>
      <c r="H76" s="30"/>
      <c r="I76" s="31"/>
      <c r="J76" s="31"/>
    </row>
    <row r="77" spans="1:10" ht="78" x14ac:dyDescent="0.3">
      <c r="A77" s="15"/>
      <c r="B77" s="4"/>
      <c r="C77" s="61" t="s">
        <v>74</v>
      </c>
      <c r="D77" s="4"/>
      <c r="E77" s="42">
        <f>F77</f>
        <v>26700</v>
      </c>
      <c r="F77" s="44">
        <v>26700</v>
      </c>
      <c r="G77" s="30"/>
      <c r="H77" s="30"/>
      <c r="I77" s="31"/>
      <c r="J77" s="31"/>
    </row>
    <row r="78" spans="1:10" ht="16.5" hidden="1" customHeight="1" x14ac:dyDescent="0.3">
      <c r="A78" s="15"/>
      <c r="B78" s="60"/>
      <c r="C78" s="25"/>
      <c r="D78" s="60"/>
      <c r="E78" s="42"/>
      <c r="F78" s="44"/>
      <c r="G78" s="30"/>
      <c r="H78" s="30"/>
      <c r="I78" s="31"/>
      <c r="J78" s="31"/>
    </row>
    <row r="79" spans="1:10" ht="47.25" hidden="1" customHeight="1" x14ac:dyDescent="0.3">
      <c r="A79" s="15"/>
      <c r="B79" s="4"/>
      <c r="C79" s="19" t="s">
        <v>70</v>
      </c>
      <c r="D79" s="4"/>
      <c r="E79" s="42">
        <v>0</v>
      </c>
      <c r="F79" s="44">
        <f>E79</f>
        <v>0</v>
      </c>
      <c r="G79" s="30"/>
      <c r="H79" s="30"/>
      <c r="I79" s="31"/>
      <c r="J79" s="31"/>
    </row>
    <row r="80" spans="1:10" ht="31.5" customHeight="1" x14ac:dyDescent="0.3">
      <c r="A80" s="297" t="s">
        <v>41</v>
      </c>
      <c r="B80" s="298"/>
      <c r="C80" s="299"/>
      <c r="D80" s="3">
        <f>SUM(D71:D73)</f>
        <v>45935371.560000002</v>
      </c>
      <c r="E80" s="46">
        <f>E79+E73+E71+E75+E76+E77</f>
        <v>554541</v>
      </c>
      <c r="F80" s="45">
        <f>F79+F73+F72+F71+F75+F77+F76+F74</f>
        <v>47226569.560000002</v>
      </c>
      <c r="G80" s="46">
        <f>SUM(G71:G73)</f>
        <v>0</v>
      </c>
      <c r="H80" s="46">
        <f>SUM(H71:H73)</f>
        <v>0</v>
      </c>
      <c r="I80" s="47">
        <f>I75</f>
        <v>244701</v>
      </c>
      <c r="J80" s="47">
        <f>J75</f>
        <v>244701</v>
      </c>
    </row>
    <row r="81" spans="1:10" ht="31.5" hidden="1" customHeight="1" x14ac:dyDescent="0.3">
      <c r="A81" s="309"/>
      <c r="B81" s="310"/>
      <c r="C81" s="311"/>
      <c r="D81" s="3"/>
      <c r="E81" s="46"/>
      <c r="F81" s="45"/>
      <c r="G81" s="46"/>
      <c r="H81" s="46"/>
      <c r="I81" s="47"/>
      <c r="J81" s="47"/>
    </row>
    <row r="82" spans="1:10" ht="15.75" customHeight="1" x14ac:dyDescent="0.3">
      <c r="A82" s="267" t="s">
        <v>83</v>
      </c>
      <c r="B82" s="268"/>
      <c r="C82" s="269"/>
      <c r="D82" s="13">
        <f t="shared" ref="D82:J82" si="2">D80+D70+D55+D45+D61+D59</f>
        <v>130343095.31</v>
      </c>
      <c r="E82" s="53">
        <f t="shared" si="2"/>
        <v>33657981</v>
      </c>
      <c r="F82" s="52">
        <f t="shared" si="2"/>
        <v>149182716</v>
      </c>
      <c r="G82" s="53">
        <f>G80+G70+G55+G45+G61+G59</f>
        <v>299952</v>
      </c>
      <c r="H82" s="53">
        <f t="shared" si="2"/>
        <v>11088400</v>
      </c>
      <c r="I82" s="53">
        <f t="shared" si="2"/>
        <v>-8552000</v>
      </c>
      <c r="J82" s="53">
        <f t="shared" si="2"/>
        <v>2536400</v>
      </c>
    </row>
    <row r="83" spans="1:10" ht="15" customHeight="1" x14ac:dyDescent="0.3">
      <c r="A83" s="267" t="s">
        <v>109</v>
      </c>
      <c r="B83" s="268"/>
      <c r="C83" s="269"/>
      <c r="D83" s="13"/>
      <c r="E83" s="53"/>
      <c r="F83" s="286">
        <f>F82+G82</f>
        <v>149482668</v>
      </c>
      <c r="G83" s="287"/>
      <c r="H83" s="53"/>
      <c r="I83" s="53"/>
      <c r="J83" s="53"/>
    </row>
    <row r="84" spans="1:10" ht="15.75" customHeight="1" x14ac:dyDescent="0.3">
      <c r="A84" s="267" t="s">
        <v>82</v>
      </c>
      <c r="B84" s="268"/>
      <c r="C84" s="269"/>
      <c r="D84" s="13"/>
      <c r="E84" s="53"/>
      <c r="F84" s="52"/>
      <c r="G84" s="54"/>
      <c r="H84" s="53"/>
      <c r="I84" s="53"/>
      <c r="J84" s="53">
        <f>J82</f>
        <v>2536400</v>
      </c>
    </row>
    <row r="85" spans="1:10" ht="15.75" customHeight="1" x14ac:dyDescent="0.3">
      <c r="A85" s="267" t="s">
        <v>84</v>
      </c>
      <c r="B85" s="268"/>
      <c r="C85" s="269"/>
      <c r="D85" s="288">
        <f>F82+G82+J82</f>
        <v>152019068</v>
      </c>
      <c r="E85" s="289"/>
      <c r="F85" s="289"/>
      <c r="G85" s="289"/>
      <c r="H85" s="289"/>
      <c r="I85" s="289"/>
      <c r="J85" s="290"/>
    </row>
    <row r="86" spans="1:10" ht="45" hidden="1" customHeight="1" x14ac:dyDescent="0.35">
      <c r="A86" s="7"/>
      <c r="D86" s="5">
        <f>D82+E82</f>
        <v>164001076.31</v>
      </c>
      <c r="I86" s="28">
        <f>I82-705441</f>
        <v>-9257441</v>
      </c>
      <c r="J86" s="28">
        <v>2536400</v>
      </c>
    </row>
    <row r="87" spans="1:10" ht="45" hidden="1" customHeight="1" x14ac:dyDescent="0.35">
      <c r="A87" s="7"/>
      <c r="F87" s="27">
        <f>D89-F82</f>
        <v>12560264</v>
      </c>
      <c r="J87" s="28">
        <f>J86-J84</f>
        <v>0</v>
      </c>
    </row>
    <row r="88" spans="1:10" ht="18.75" hidden="1" customHeight="1" x14ac:dyDescent="0.35">
      <c r="A88" s="7"/>
      <c r="I88" s="28">
        <v>702500</v>
      </c>
    </row>
    <row r="89" spans="1:10" ht="18.75" hidden="1" customHeight="1" x14ac:dyDescent="0.35">
      <c r="A89" s="7"/>
      <c r="C89" s="5" t="s">
        <v>71</v>
      </c>
      <c r="D89" s="5">
        <v>161742980</v>
      </c>
      <c r="E89" s="28">
        <f>F82+G82</f>
        <v>149482668</v>
      </c>
      <c r="F89" s="27">
        <f>D89-E89</f>
        <v>12260312</v>
      </c>
      <c r="G89" s="28">
        <f>D89-E89</f>
        <v>12260312</v>
      </c>
      <c r="I89" s="28">
        <v>145500</v>
      </c>
    </row>
    <row r="90" spans="1:10" ht="15" hidden="1" customHeight="1" x14ac:dyDescent="0.3">
      <c r="C90" s="5" t="s">
        <v>72</v>
      </c>
      <c r="D90" s="5">
        <v>126486475.68000001</v>
      </c>
      <c r="F90" s="27">
        <f>F79+F89</f>
        <v>12260312</v>
      </c>
      <c r="I90" s="28">
        <f>I88+I89</f>
        <v>848000</v>
      </c>
    </row>
    <row r="91" spans="1:10" ht="15" hidden="1" customHeight="1" x14ac:dyDescent="0.3">
      <c r="D91" s="5">
        <f>D89-D90</f>
        <v>35256504.319999993</v>
      </c>
      <c r="I91" s="28">
        <f>I90-I82</f>
        <v>9400000</v>
      </c>
    </row>
    <row r="92" spans="1:10" ht="15" hidden="1" customHeight="1" x14ac:dyDescent="0.3"/>
    <row r="93" spans="1:10" ht="15" hidden="1" customHeight="1" x14ac:dyDescent="0.3"/>
  </sheetData>
  <mergeCells count="32">
    <mergeCell ref="A84:C84"/>
    <mergeCell ref="D85:J85"/>
    <mergeCell ref="A45:C45"/>
    <mergeCell ref="A55:C55"/>
    <mergeCell ref="A70:C70"/>
    <mergeCell ref="B46:B51"/>
    <mergeCell ref="A62:A66"/>
    <mergeCell ref="B62:B66"/>
    <mergeCell ref="A61:C61"/>
    <mergeCell ref="A59:C59"/>
    <mergeCell ref="A82:C82"/>
    <mergeCell ref="A85:C85"/>
    <mergeCell ref="A71:A73"/>
    <mergeCell ref="B71:B73"/>
    <mergeCell ref="A80:C80"/>
    <mergeCell ref="A81:C81"/>
    <mergeCell ref="A83:C83"/>
    <mergeCell ref="A8:H8"/>
    <mergeCell ref="A9:H9"/>
    <mergeCell ref="H10:I10"/>
    <mergeCell ref="A10:A11"/>
    <mergeCell ref="B10:B11"/>
    <mergeCell ref="C10:C11"/>
    <mergeCell ref="D10:E10"/>
    <mergeCell ref="G10:G11"/>
    <mergeCell ref="A46:A54"/>
    <mergeCell ref="F83:G83"/>
    <mergeCell ref="D1:H1"/>
    <mergeCell ref="D2:H2"/>
    <mergeCell ref="D3:H3"/>
    <mergeCell ref="D4:H4"/>
    <mergeCell ref="D5:H5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59" fitToHeight="6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"/>
  <sheetViews>
    <sheetView workbookViewId="0">
      <selection activeCell="E17" sqref="E17"/>
    </sheetView>
  </sheetViews>
  <sheetFormatPr defaultColWidth="9.109375" defaultRowHeight="14.4" x14ac:dyDescent="0.3"/>
  <cols>
    <col min="1" max="1" width="5.6640625" style="28" customWidth="1"/>
    <col min="2" max="2" width="46.5546875" style="28" customWidth="1"/>
    <col min="3" max="4" width="15" style="28" hidden="1" customWidth="1"/>
    <col min="5" max="5" width="15" style="27" customWidth="1"/>
    <col min="6" max="6" width="15.6640625" style="28" customWidth="1"/>
    <col min="7" max="7" width="19.6640625" style="28" hidden="1" customWidth="1"/>
    <col min="8" max="8" width="16.109375" style="28" hidden="1" customWidth="1"/>
    <col min="9" max="9" width="13.109375" style="28" bestFit="1" customWidth="1"/>
    <col min="10" max="16384" width="9.109375" style="28"/>
  </cols>
  <sheetData>
    <row r="1" spans="1:9" ht="94.5" customHeight="1" x14ac:dyDescent="0.35">
      <c r="A1" s="248" t="s">
        <v>96</v>
      </c>
      <c r="B1" s="248"/>
      <c r="C1" s="248"/>
      <c r="D1" s="248"/>
      <c r="E1" s="248"/>
      <c r="F1" s="248"/>
      <c r="G1" s="248"/>
      <c r="H1" s="312"/>
      <c r="I1" s="312"/>
    </row>
    <row r="2" spans="1:9" ht="18" x14ac:dyDescent="0.35">
      <c r="A2" s="313"/>
      <c r="B2" s="313"/>
      <c r="C2" s="313"/>
      <c r="D2" s="313"/>
      <c r="E2" s="313"/>
      <c r="F2" s="313"/>
      <c r="G2" s="314"/>
    </row>
    <row r="3" spans="1:9" ht="15.6" hidden="1" x14ac:dyDescent="0.3">
      <c r="A3" s="315" t="s">
        <v>4</v>
      </c>
      <c r="B3" s="210" t="s">
        <v>6</v>
      </c>
      <c r="C3" s="317" t="s">
        <v>77</v>
      </c>
      <c r="D3" s="318"/>
      <c r="E3" s="29"/>
      <c r="F3" s="319" t="s">
        <v>92</v>
      </c>
      <c r="G3" s="319" t="s">
        <v>79</v>
      </c>
      <c r="H3" s="321"/>
      <c r="I3" s="31"/>
    </row>
    <row r="4" spans="1:9" ht="69" customHeight="1" x14ac:dyDescent="0.3">
      <c r="A4" s="316"/>
      <c r="B4" s="214"/>
      <c r="C4" s="33" t="s">
        <v>73</v>
      </c>
      <c r="D4" s="56" t="s">
        <v>69</v>
      </c>
      <c r="E4" s="32" t="s">
        <v>91</v>
      </c>
      <c r="F4" s="320"/>
      <c r="G4" s="33" t="s">
        <v>80</v>
      </c>
      <c r="H4" s="34" t="s">
        <v>69</v>
      </c>
      <c r="I4" s="34" t="s">
        <v>34</v>
      </c>
    </row>
    <row r="5" spans="1:9" ht="46.8" x14ac:dyDescent="0.3">
      <c r="A5" s="62"/>
      <c r="B5" s="57" t="s">
        <v>20</v>
      </c>
      <c r="C5" s="36">
        <v>21743179.129999999</v>
      </c>
      <c r="D5" s="36"/>
      <c r="E5" s="37">
        <f>C5</f>
        <v>21743179.129999999</v>
      </c>
      <c r="F5" s="36">
        <v>-12038150</v>
      </c>
      <c r="G5" s="36"/>
      <c r="H5" s="31"/>
      <c r="I5" s="31">
        <f>E5+F5</f>
        <v>9705029.129999999</v>
      </c>
    </row>
    <row r="6" spans="1:9" ht="15.6" x14ac:dyDescent="0.3">
      <c r="A6" s="62"/>
      <c r="B6" s="57" t="s">
        <v>97</v>
      </c>
      <c r="C6" s="36"/>
      <c r="D6" s="36"/>
      <c r="E6" s="37"/>
      <c r="F6" s="36">
        <v>11415650</v>
      </c>
      <c r="G6" s="36"/>
      <c r="H6" s="31"/>
      <c r="I6" s="31"/>
    </row>
    <row r="7" spans="1:9" ht="15.6" x14ac:dyDescent="0.3">
      <c r="A7" s="62"/>
      <c r="B7" s="57" t="s">
        <v>94</v>
      </c>
      <c r="C7" s="36"/>
      <c r="D7" s="36"/>
      <c r="E7" s="37"/>
      <c r="F7" s="36">
        <v>120000</v>
      </c>
      <c r="G7" s="36"/>
      <c r="H7" s="31"/>
      <c r="I7" s="31"/>
    </row>
    <row r="8" spans="1:9" ht="15.6" x14ac:dyDescent="0.3">
      <c r="A8" s="62"/>
      <c r="B8" s="57" t="s">
        <v>95</v>
      </c>
      <c r="C8" s="36"/>
      <c r="D8" s="36"/>
      <c r="E8" s="37"/>
      <c r="F8" s="36">
        <v>502500</v>
      </c>
      <c r="G8" s="36"/>
      <c r="H8" s="31"/>
      <c r="I8" s="31"/>
    </row>
    <row r="9" spans="1:9" ht="15.6" x14ac:dyDescent="0.3">
      <c r="A9" s="62"/>
      <c r="B9" s="57" t="s">
        <v>34</v>
      </c>
      <c r="C9" s="36"/>
      <c r="D9" s="36"/>
      <c r="E9" s="37"/>
      <c r="F9" s="36">
        <f>F5+F6+F7+F8</f>
        <v>0</v>
      </c>
      <c r="G9" s="36"/>
      <c r="H9" s="31"/>
      <c r="I9" s="31"/>
    </row>
  </sheetData>
  <mergeCells count="7">
    <mergeCell ref="A1:I1"/>
    <mergeCell ref="A2:G2"/>
    <mergeCell ref="A3:A4"/>
    <mergeCell ref="B3:B4"/>
    <mergeCell ref="C3:D3"/>
    <mergeCell ref="F3:F4"/>
    <mergeCell ref="G3:H3"/>
  </mergeCells>
  <pageMargins left="0.70866141732283472" right="0.70866141732283472" top="0.74803149606299213" bottom="0.74803149606299213" header="0.31496062992125984" footer="0.31496062992125984"/>
  <pageSetup paperSize="9" scale="74" fitToHeight="6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прил 1 </vt:lpstr>
      <vt:lpstr>поячнительная </vt:lpstr>
      <vt:lpstr>Лист5</vt:lpstr>
      <vt:lpstr>Лист2</vt:lpstr>
      <vt:lpstr>пояснительная </vt:lpstr>
      <vt:lpstr>прил 1  минис с 1 шк плюс на у)</vt:lpstr>
      <vt:lpstr>Лист3</vt:lpstr>
      <vt:lpstr>'пояснительная '!_Hlk132293799</vt:lpstr>
      <vt:lpstr>'поячнительная '!_Hlk132293799</vt:lpstr>
      <vt:lpstr>'прил 1 '!_Hlk132293799</vt:lpstr>
      <vt:lpstr>'прил 1  минис с 1 шк плюс на у)'!_Hlk132293799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2024-12-09T08:59:47Z</dcterms:modified>
</cp:coreProperties>
</file>